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fid.sharepoint.com/ACFID Projects/Climate Change Domain/Peer Learning/member resources/"/>
    </mc:Choice>
  </mc:AlternateContent>
  <xr:revisionPtr revIDLastSave="0" documentId="8_{7469EEAE-AD59-4313-ACCD-F4C21DE99A3C}" xr6:coauthVersionLast="47" xr6:coauthVersionMax="47" xr10:uidLastSave="{00000000-0000-0000-0000-000000000000}"/>
  <bookViews>
    <workbookView xWindow="28680" yWindow="-120" windowWidth="29040" windowHeight="15840" activeTab="3" xr2:uid="{71079AB6-E265-4949-A5C2-ED907AA8842D}"/>
  </bookViews>
  <sheets>
    <sheet name="Carbon calculation" sheetId="1" r:id="rId1"/>
    <sheet name="Example working sheet" sheetId="3" r:id="rId2"/>
    <sheet name="TEMPLATE activities sheet" sheetId="4" r:id="rId3"/>
    <sheet name="TEMPLATE FLIGH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G23" i="4"/>
  <c r="L48" i="4"/>
  <c r="H48" i="4"/>
  <c r="D48" i="4"/>
  <c r="L50" i="4"/>
  <c r="H50" i="4"/>
  <c r="D50" i="4"/>
  <c r="L49" i="4"/>
  <c r="H49" i="4"/>
  <c r="D49" i="4"/>
  <c r="L51" i="4"/>
  <c r="H51" i="4"/>
  <c r="D51" i="4"/>
  <c r="L40" i="4"/>
  <c r="L39" i="4"/>
  <c r="L38" i="4"/>
  <c r="L41" i="4" s="1"/>
  <c r="L30" i="4"/>
  <c r="L29" i="4"/>
  <c r="L28" i="4"/>
  <c r="L31" i="4" s="1"/>
  <c r="H40" i="4"/>
  <c r="H39" i="4"/>
  <c r="H38" i="4"/>
  <c r="H30" i="4"/>
  <c r="H29" i="4"/>
  <c r="H28" i="4"/>
  <c r="H31" i="4" s="1"/>
  <c r="D38" i="4"/>
  <c r="C59" i="4"/>
  <c r="D63" i="4"/>
  <c r="C63" i="4" s="1"/>
  <c r="D62" i="4"/>
  <c r="C62" i="4" s="1"/>
  <c r="D61" i="4"/>
  <c r="C61" i="4" s="1"/>
  <c r="D60" i="4"/>
  <c r="C60" i="4" s="1"/>
  <c r="C60" i="3"/>
  <c r="D26" i="3"/>
  <c r="C21" i="3"/>
  <c r="K12" i="4"/>
  <c r="K13" i="4"/>
  <c r="K14" i="4"/>
  <c r="K11" i="4"/>
  <c r="D55" i="1"/>
  <c r="D54" i="1"/>
  <c r="E54" i="1" s="1"/>
  <c r="F54" i="1" s="1"/>
  <c r="D53" i="1"/>
  <c r="D52" i="1"/>
  <c r="E52" i="1"/>
  <c r="F52" i="1" s="1"/>
  <c r="K15" i="4"/>
  <c r="K7" i="4"/>
  <c r="E3" i="2"/>
  <c r="S28" i="2"/>
  <c r="Q28" i="2"/>
  <c r="O28" i="2"/>
  <c r="M28" i="2"/>
  <c r="K28" i="2"/>
  <c r="I28" i="2"/>
  <c r="G28" i="2"/>
  <c r="E28" i="2"/>
  <c r="S27" i="2"/>
  <c r="Q27" i="2"/>
  <c r="O27" i="2"/>
  <c r="M27" i="2"/>
  <c r="K27" i="2"/>
  <c r="I27" i="2"/>
  <c r="G27" i="2"/>
  <c r="E27" i="2"/>
  <c r="S26" i="2"/>
  <c r="Q26" i="2"/>
  <c r="O26" i="2"/>
  <c r="M26" i="2"/>
  <c r="K26" i="2"/>
  <c r="I26" i="2"/>
  <c r="G26" i="2"/>
  <c r="E26" i="2"/>
  <c r="S25" i="2"/>
  <c r="Q25" i="2"/>
  <c r="O25" i="2"/>
  <c r="M25" i="2"/>
  <c r="K25" i="2"/>
  <c r="I25" i="2"/>
  <c r="G25" i="2"/>
  <c r="E25" i="2"/>
  <c r="S24" i="2"/>
  <c r="Q24" i="2"/>
  <c r="O24" i="2"/>
  <c r="M24" i="2"/>
  <c r="K24" i="2"/>
  <c r="I24" i="2"/>
  <c r="G24" i="2"/>
  <c r="E24" i="2"/>
  <c r="E53" i="1"/>
  <c r="F53" i="1" s="1"/>
  <c r="E55" i="1"/>
  <c r="F55" i="1" s="1"/>
  <c r="E58" i="1"/>
  <c r="F58" i="1" s="1"/>
  <c r="K38" i="1"/>
  <c r="K37" i="1"/>
  <c r="K36" i="1"/>
  <c r="C52" i="3"/>
  <c r="I52" i="3"/>
  <c r="I43" i="3"/>
  <c r="I44" i="3" s="1"/>
  <c r="R2" i="2"/>
  <c r="P2" i="2"/>
  <c r="N2" i="2"/>
  <c r="L2" i="2"/>
  <c r="J2" i="2"/>
  <c r="H2" i="2"/>
  <c r="F2" i="2"/>
  <c r="D2" i="2"/>
  <c r="H54" i="4" l="1"/>
  <c r="H55" i="4" s="1"/>
  <c r="H52" i="4"/>
  <c r="L54" i="4"/>
  <c r="L55" i="4" s="1"/>
  <c r="L52" i="4"/>
  <c r="D52" i="4"/>
  <c r="D54" i="4"/>
  <c r="D55" i="4" s="1"/>
  <c r="H41" i="4"/>
  <c r="L34" i="4"/>
  <c r="L35" i="4" s="1"/>
  <c r="L32" i="4"/>
  <c r="L44" i="4"/>
  <c r="L45" i="4" s="1"/>
  <c r="L42" i="4"/>
  <c r="H34" i="4"/>
  <c r="H35" i="4" s="1"/>
  <c r="H32" i="4"/>
  <c r="H44" i="4"/>
  <c r="H45" i="4" s="1"/>
  <c r="H42" i="4"/>
  <c r="C66" i="3"/>
  <c r="D66" i="3" s="1"/>
  <c r="C67" i="3"/>
  <c r="D67" i="3" s="1"/>
  <c r="C68" i="3"/>
  <c r="D68" i="3" s="1"/>
  <c r="E68" i="3" s="1"/>
  <c r="I45" i="3"/>
  <c r="I46" i="3" s="1"/>
  <c r="D43" i="3" l="1"/>
  <c r="D44" i="3" s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9" i="2"/>
  <c r="S30" i="2"/>
  <c r="S31" i="2"/>
  <c r="S32" i="2"/>
  <c r="S33" i="2"/>
  <c r="S34" i="2"/>
  <c r="S3" i="2"/>
  <c r="O31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9" i="2"/>
  <c r="O30" i="2"/>
  <c r="O32" i="2"/>
  <c r="O33" i="2"/>
  <c r="O34" i="2"/>
  <c r="O3" i="2"/>
  <c r="E57" i="1"/>
  <c r="F57" i="1" s="1"/>
  <c r="M28" i="3"/>
  <c r="C47" i="3"/>
  <c r="D64" i="3"/>
  <c r="C64" i="3" s="1"/>
  <c r="D63" i="3"/>
  <c r="C63" i="3" s="1"/>
  <c r="D36" i="3" s="1"/>
  <c r="D62" i="3"/>
  <c r="C62" i="3" s="1"/>
  <c r="H52" i="3" s="1"/>
  <c r="D61" i="3"/>
  <c r="C61" i="3" s="1"/>
  <c r="F52" i="3" s="1"/>
  <c r="D9" i="1"/>
  <c r="E9" i="1" s="1"/>
  <c r="F16" i="3"/>
  <c r="E37" i="1"/>
  <c r="F37" i="1" s="1"/>
  <c r="E38" i="1"/>
  <c r="F38" i="1" s="1"/>
  <c r="E39" i="1"/>
  <c r="F39" i="1" s="1"/>
  <c r="E35" i="1"/>
  <c r="F35" i="1" s="1"/>
  <c r="F36" i="1"/>
  <c r="E43" i="3"/>
  <c r="E44" i="3" s="1"/>
  <c r="F43" i="3"/>
  <c r="F44" i="3" s="1"/>
  <c r="G43" i="3"/>
  <c r="G44" i="3" s="1"/>
  <c r="H43" i="3"/>
  <c r="H44" i="3" s="1"/>
  <c r="C43" i="3"/>
  <c r="C44" i="3" s="1"/>
  <c r="E32" i="1"/>
  <c r="F32" i="1" s="1"/>
  <c r="C35" i="3"/>
  <c r="C34" i="3"/>
  <c r="I34" i="3"/>
  <c r="F34" i="3"/>
  <c r="L26" i="3"/>
  <c r="I26" i="3"/>
  <c r="I35" i="3"/>
  <c r="F35" i="3"/>
  <c r="L27" i="3"/>
  <c r="I27" i="3"/>
  <c r="F27" i="3"/>
  <c r="F26" i="3"/>
  <c r="F43" i="1"/>
  <c r="F44" i="1"/>
  <c r="F45" i="1"/>
  <c r="F46" i="1"/>
  <c r="F47" i="1"/>
  <c r="F48" i="1"/>
  <c r="F49" i="1"/>
  <c r="F42" i="1"/>
  <c r="Q23" i="3"/>
  <c r="Q24" i="3"/>
  <c r="Q25" i="3"/>
  <c r="Q28" i="3"/>
  <c r="C26" i="3"/>
  <c r="C27" i="3"/>
  <c r="D17" i="3" l="1"/>
  <c r="D18" i="3" s="1"/>
  <c r="D40" i="4"/>
  <c r="D30" i="4"/>
  <c r="J26" i="3"/>
  <c r="M26" i="3"/>
  <c r="G26" i="3"/>
  <c r="C48" i="3"/>
  <c r="S35" i="2"/>
  <c r="O35" i="2"/>
  <c r="E36" i="3"/>
  <c r="N28" i="3"/>
  <c r="J36" i="3"/>
  <c r="K36" i="3" s="1"/>
  <c r="G52" i="3"/>
  <c r="G45" i="3" s="1"/>
  <c r="G46" i="3" s="1"/>
  <c r="D27" i="3"/>
  <c r="G36" i="3"/>
  <c r="H36" i="3" s="1"/>
  <c r="D28" i="3"/>
  <c r="E28" i="3" s="1"/>
  <c r="G28" i="3"/>
  <c r="H28" i="3" s="1"/>
  <c r="J28" i="3"/>
  <c r="K28" i="3" s="1"/>
  <c r="F9" i="1"/>
  <c r="G27" i="3"/>
  <c r="J27" i="3"/>
  <c r="D52" i="3"/>
  <c r="D45" i="3" s="1"/>
  <c r="D46" i="3" s="1"/>
  <c r="H45" i="3"/>
  <c r="H46" i="3" s="1"/>
  <c r="C45" i="3"/>
  <c r="I47" i="3" s="1"/>
  <c r="E52" i="3"/>
  <c r="F45" i="3"/>
  <c r="F46" i="3" s="1"/>
  <c r="D34" i="3"/>
  <c r="G35" i="3"/>
  <c r="M27" i="3"/>
  <c r="Q29" i="3"/>
  <c r="D35" i="3"/>
  <c r="J35" i="3"/>
  <c r="J34" i="3"/>
  <c r="G34" i="3"/>
  <c r="E6" i="1"/>
  <c r="F6" i="1" s="1"/>
  <c r="E7" i="1"/>
  <c r="E11" i="1"/>
  <c r="E12" i="1"/>
  <c r="F12" i="1" s="1"/>
  <c r="E13" i="1"/>
  <c r="E15" i="1"/>
  <c r="N26" i="3" s="1"/>
  <c r="E17" i="1"/>
  <c r="E18" i="1"/>
  <c r="E19" i="1"/>
  <c r="E21" i="1"/>
  <c r="F21" i="1" s="1"/>
  <c r="E22" i="1"/>
  <c r="F22" i="1" s="1"/>
  <c r="E25" i="1"/>
  <c r="F25" i="1" s="1"/>
  <c r="E26" i="1"/>
  <c r="F26" i="1" s="1"/>
  <c r="E28" i="1"/>
  <c r="E29" i="1"/>
  <c r="E30" i="1"/>
  <c r="E5" i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9" i="2"/>
  <c r="Q30" i="2"/>
  <c r="Q31" i="2"/>
  <c r="Q32" i="2"/>
  <c r="Q33" i="2"/>
  <c r="Q34" i="2"/>
  <c r="Q3" i="2"/>
  <c r="M30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9" i="2"/>
  <c r="M31" i="2"/>
  <c r="M32" i="2"/>
  <c r="M33" i="2"/>
  <c r="M34" i="2"/>
  <c r="M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9" i="2"/>
  <c r="K30" i="2"/>
  <c r="K31" i="2"/>
  <c r="K32" i="2"/>
  <c r="K33" i="2"/>
  <c r="K34" i="2"/>
  <c r="K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9" i="2"/>
  <c r="I30" i="2"/>
  <c r="I31" i="2"/>
  <c r="I32" i="2"/>
  <c r="I33" i="2"/>
  <c r="I34" i="2"/>
  <c r="I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9" i="2"/>
  <c r="G30" i="2"/>
  <c r="G31" i="2"/>
  <c r="G32" i="2"/>
  <c r="G33" i="2"/>
  <c r="G34" i="2"/>
  <c r="G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9" i="2"/>
  <c r="E30" i="2"/>
  <c r="E31" i="2"/>
  <c r="E32" i="2"/>
  <c r="E33" i="2"/>
  <c r="E34" i="2"/>
  <c r="U35" i="2"/>
  <c r="F28" i="1" l="1"/>
  <c r="K8" i="4"/>
  <c r="F30" i="1"/>
  <c r="K10" i="4"/>
  <c r="F29" i="1"/>
  <c r="K35" i="1" s="1"/>
  <c r="K39" i="1" s="1"/>
  <c r="K9" i="4"/>
  <c r="D9" i="4"/>
  <c r="C6" i="3"/>
  <c r="D6" i="3" s="1"/>
  <c r="F13" i="1"/>
  <c r="D28" i="4"/>
  <c r="F11" i="1"/>
  <c r="F7" i="1"/>
  <c r="E17" i="4"/>
  <c r="F5" i="1"/>
  <c r="E16" i="4"/>
  <c r="F18" i="1"/>
  <c r="D8" i="4"/>
  <c r="F17" i="1"/>
  <c r="D7" i="4"/>
  <c r="E45" i="3"/>
  <c r="E46" i="3" s="1"/>
  <c r="E33" i="1"/>
  <c r="F33" i="1" s="1"/>
  <c r="C46" i="3"/>
  <c r="F19" i="1"/>
  <c r="C7" i="3"/>
  <c r="D7" i="3" s="1"/>
  <c r="H34" i="3"/>
  <c r="K34" i="3"/>
  <c r="F15" i="1"/>
  <c r="H26" i="3"/>
  <c r="E26" i="3"/>
  <c r="E34" i="3"/>
  <c r="K26" i="3"/>
  <c r="R22" i="3"/>
  <c r="Q30" i="3"/>
  <c r="R23" i="3"/>
  <c r="R25" i="3"/>
  <c r="R27" i="3"/>
  <c r="R26" i="3"/>
  <c r="R28" i="3"/>
  <c r="R24" i="3"/>
  <c r="D13" i="3"/>
  <c r="C13" i="3"/>
  <c r="I35" i="2"/>
  <c r="G35" i="2"/>
  <c r="K35" i="2"/>
  <c r="E35" i="2"/>
  <c r="M35" i="2"/>
  <c r="Q35" i="2"/>
  <c r="K16" i="4" l="1"/>
  <c r="K17" i="4" s="1"/>
  <c r="D11" i="4"/>
  <c r="D12" i="4" s="1"/>
  <c r="E18" i="4"/>
  <c r="E19" i="4" s="1"/>
  <c r="I48" i="3"/>
  <c r="D8" i="3"/>
  <c r="D9" i="3" s="1"/>
  <c r="L36" i="1"/>
  <c r="L37" i="1"/>
  <c r="L38" i="1"/>
  <c r="L34" i="1"/>
  <c r="L35" i="1"/>
  <c r="C49" i="3"/>
  <c r="D14" i="3"/>
  <c r="D15" i="3" s="1"/>
  <c r="T37" i="2"/>
  <c r="U38" i="2" s="1"/>
  <c r="D23" i="1"/>
  <c r="E23" i="1" s="1"/>
  <c r="F23" i="1" l="1"/>
  <c r="D39" i="4"/>
  <c r="D41" i="4" s="1"/>
  <c r="D29" i="4"/>
  <c r="D31" i="4" s="1"/>
  <c r="M34" i="1"/>
  <c r="E27" i="3"/>
  <c r="E29" i="3" s="1"/>
  <c r="N27" i="3"/>
  <c r="K27" i="3"/>
  <c r="H35" i="3"/>
  <c r="K35" i="3"/>
  <c r="E35" i="3"/>
  <c r="H27" i="3"/>
  <c r="D34" i="4" l="1"/>
  <c r="D35" i="4" s="1"/>
  <c r="D32" i="4"/>
  <c r="D44" i="4"/>
  <c r="D45" i="4" s="1"/>
  <c r="D42" i="4"/>
  <c r="E37" i="3"/>
  <c r="E39" i="3" s="1"/>
  <c r="H37" i="3"/>
  <c r="H39" i="3" s="1"/>
  <c r="K37" i="3"/>
  <c r="K39" i="3" s="1"/>
  <c r="H29" i="3"/>
  <c r="H31" i="3" s="1"/>
  <c r="K29" i="3"/>
  <c r="K31" i="3" s="1"/>
  <c r="N29" i="3"/>
  <c r="E31" i="3"/>
  <c r="C22" i="3" l="1"/>
  <c r="N31" i="3"/>
  <c r="H38" i="3" l="1"/>
  <c r="S23" i="3" s="1"/>
  <c r="H30" i="3"/>
  <c r="S26" i="3" s="1"/>
  <c r="K38" i="3"/>
  <c r="S24" i="3" s="1"/>
  <c r="K30" i="3"/>
  <c r="S27" i="3" s="1"/>
  <c r="E30" i="3"/>
  <c r="S25" i="3" s="1"/>
  <c r="E38" i="3"/>
  <c r="S22" i="3" s="1"/>
  <c r="N30" i="3"/>
  <c r="S28" i="3" s="1"/>
</calcChain>
</file>

<file path=xl/sharedStrings.xml><?xml version="1.0" encoding="utf-8"?>
<sst xmlns="http://schemas.openxmlformats.org/spreadsheetml/2006/main" count="391" uniqueCount="221">
  <si>
    <t>Web browsing one hour</t>
  </si>
  <si>
    <t>Sending a text message</t>
  </si>
  <si>
    <t>Other laptop</t>
  </si>
  <si>
    <t>Desktop computer + screen</t>
  </si>
  <si>
    <t>Night in a hotel with average eco credentials</t>
  </si>
  <si>
    <t>15 inch Dell Precision (256GB storage)</t>
  </si>
  <si>
    <t xml:space="preserve">Average-efficient lap top </t>
  </si>
  <si>
    <t>Desktop + screen</t>
  </si>
  <si>
    <t>Zoom call (per hour)</t>
  </si>
  <si>
    <t>How Bad are Bananas? The Carbon Footprint of Everything, Berners-Lee, M (2020), Profile Books, London, UK</t>
  </si>
  <si>
    <t xml:space="preserve">Long email, takes 10 minutes to write and 3 minutes to read, sent from laptop to laptop </t>
  </si>
  <si>
    <t>References</t>
  </si>
  <si>
    <t xml:space="preserve">Mobile phone use per hour </t>
  </si>
  <si>
    <t>Emails and web browsing</t>
  </si>
  <si>
    <t>Mobile phone</t>
  </si>
  <si>
    <t>Mobile phones: Electricity use, manufacture and data connections</t>
  </si>
  <si>
    <t>Notes</t>
  </si>
  <si>
    <t>Ref.</t>
  </si>
  <si>
    <t>KG</t>
  </si>
  <si>
    <t xml:space="preserve">How much is that worth? </t>
  </si>
  <si>
    <t>https://co2.myclimate.org/en/flight_calculators/new</t>
  </si>
  <si>
    <t>Person</t>
  </si>
  <si>
    <t>Flight date</t>
  </si>
  <si>
    <t>C02 Tonne</t>
  </si>
  <si>
    <t>Custom flights</t>
  </si>
  <si>
    <t>Custom CO2</t>
  </si>
  <si>
    <t>Flight</t>
  </si>
  <si>
    <t>Carbon (tonne)</t>
  </si>
  <si>
    <t>TOTALS</t>
  </si>
  <si>
    <t>TOTAL CO2</t>
  </si>
  <si>
    <t xml:space="preserve">Canberra - Port Moresby (via Brisbane) </t>
  </si>
  <si>
    <t xml:space="preserve">Canberra - Port Moresby (via Sydney) </t>
  </si>
  <si>
    <t xml:space="preserve">Adelaide - Port Moresby (via Brisbane) </t>
  </si>
  <si>
    <t>Port Moresby - Lae or Goroka, return</t>
  </si>
  <si>
    <t>Adelaide - Canberra</t>
  </si>
  <si>
    <t xml:space="preserve">Canberra - Brisbane </t>
  </si>
  <si>
    <t xml:space="preserve">Adelaide - Sydney </t>
  </si>
  <si>
    <t>Q?</t>
  </si>
  <si>
    <t>Short email laptop to laptop</t>
  </si>
  <si>
    <t xml:space="preserve">13 inch MacBook pro (128 GB storage) </t>
  </si>
  <si>
    <t xml:space="preserve">Low cost HP Chromebook </t>
  </si>
  <si>
    <t>MacBook pro</t>
  </si>
  <si>
    <t xml:space="preserve">Accommodation </t>
  </si>
  <si>
    <t xml:space="preserve">Emails: Electricity needed to power the laptop that writes it, the network that sends it, the data centre it is stored on and the device used to read it </t>
  </si>
  <si>
    <t>Monday Team meetings</t>
  </si>
  <si>
    <t>Thursday team meetings</t>
  </si>
  <si>
    <t xml:space="preserve">Weekly </t>
  </si>
  <si>
    <t>Annual</t>
  </si>
  <si>
    <t>Tonne</t>
  </si>
  <si>
    <t>Cost per Tonne (tress for life)</t>
  </si>
  <si>
    <t>Melbourne - Canberra</t>
  </si>
  <si>
    <t>Buying laptops</t>
  </si>
  <si>
    <t>Cost (AUD)</t>
  </si>
  <si>
    <t>Staff own</t>
  </si>
  <si>
    <t>FPNGA own</t>
  </si>
  <si>
    <t>Rules</t>
  </si>
  <si>
    <t xml:space="preserve">Assume 100% working hours on laptop </t>
  </si>
  <si>
    <t>Using the computer (per hour)</t>
  </si>
  <si>
    <t xml:space="preserve">Hours / day at desk working </t>
  </si>
  <si>
    <t>Annual hours</t>
  </si>
  <si>
    <t>Daily hours</t>
  </si>
  <si>
    <t>Carbon (Tonne)</t>
  </si>
  <si>
    <t xml:space="preserve">Total carbon, per year </t>
  </si>
  <si>
    <t xml:space="preserve">% carbon of the team </t>
  </si>
  <si>
    <t>working days / year 1.0FTE</t>
  </si>
  <si>
    <t>Estimate carbon cost of our team meetings</t>
  </si>
  <si>
    <t>Estimate carbon cost of our team's technology</t>
  </si>
  <si>
    <t>Owning technology</t>
  </si>
  <si>
    <t>(Mac user)</t>
  </si>
  <si>
    <t xml:space="preserve">(Mac user, but higher 'searching' online) </t>
  </si>
  <si>
    <t>FemiliPNG Australia: Carbon cost</t>
  </si>
  <si>
    <t>AUD</t>
  </si>
  <si>
    <t>CO2e</t>
  </si>
  <si>
    <t>CO2</t>
  </si>
  <si>
    <t xml:space="preserve">Carbon offset home office </t>
  </si>
  <si>
    <r>
      <rPr>
        <b/>
        <sz val="11"/>
        <color theme="1"/>
        <rFont val="Calibri"/>
        <family val="2"/>
      </rPr>
      <t xml:space="preserve">CO2e: CO2 equivalent - </t>
    </r>
    <r>
      <rPr>
        <sz val="11"/>
        <color theme="1"/>
        <rFont val="Calibri"/>
        <family val="2"/>
      </rPr>
      <t>Read more about what CO2e is: https://zeroco2.eco/en/magazine/environment/co2-equivalent/</t>
    </r>
  </si>
  <si>
    <t>Per year in total for home</t>
  </si>
  <si>
    <t>Carbon footprint of our at-home workers, 2023-24 financial year - Power, Water &amp; Waste</t>
  </si>
  <si>
    <t>Working days %</t>
  </si>
  <si>
    <t>Number of people in the home</t>
  </si>
  <si>
    <t>Carbon footprint total per month</t>
  </si>
  <si>
    <t>working days / year 0.8FTE</t>
  </si>
  <si>
    <t>working days / year 0.6FTE</t>
  </si>
  <si>
    <t>working days / year 0.4FTE</t>
  </si>
  <si>
    <t>working days / year 0.5FTE</t>
  </si>
  <si>
    <t>P/H</t>
  </si>
  <si>
    <t xml:space="preserve">% carbon (based on the number of people in the home) </t>
  </si>
  <si>
    <t xml:space="preserve">% of carbon (based on % of working days / non working days)  </t>
  </si>
  <si>
    <t>Total carbon</t>
  </si>
  <si>
    <t>Total cost (AUD)</t>
  </si>
  <si>
    <t xml:space="preserve">Time (% of total) </t>
  </si>
  <si>
    <t>Carbon (% of total)</t>
  </si>
  <si>
    <t xml:space="preserve">% of carbon footprint by role </t>
  </si>
  <si>
    <t>Total hours annually</t>
  </si>
  <si>
    <t xml:space="preserve">Total hours each week </t>
  </si>
  <si>
    <t>Example: CEO office, Adelaide - power, waste, water: Per year in total for home</t>
  </si>
  <si>
    <t>Example: CEO office, Adelaide - power, waste, water: Per year in ascribed to FPNGA</t>
  </si>
  <si>
    <t xml:space="preserve">Lessons learned </t>
  </si>
  <si>
    <t xml:space="preserve">There are things we can do to reduce - and where we cannot reduce, offset </t>
  </si>
  <si>
    <t>The high cost areas are flights, ground transport: POLICY focused on reducing flights where possible</t>
  </si>
  <si>
    <t>Online storage / data tools</t>
  </si>
  <si>
    <t xml:space="preserve">Trello - all online data stored in carbon-neutral data centres </t>
  </si>
  <si>
    <t xml:space="preserve">https://blog.dropbox.com/topics/technology/reaching-our-sustainability-goals-through-our-data-centers </t>
  </si>
  <si>
    <t>https://www.atlassian.com/company/corporate-social-responsibility/report?tab=planet</t>
  </si>
  <si>
    <t xml:space="preserve">https://carbonpositiveaustralia.org.au/calculate/ </t>
  </si>
  <si>
    <t xml:space="preserve">Using the Carbon Footprint Calculator (you can use a guest profile, select energy / water / waste) </t>
  </si>
  <si>
    <t>WhatsApp</t>
  </si>
  <si>
    <t xml:space="preserve">Text message </t>
  </si>
  <si>
    <t>Smart phones</t>
  </si>
  <si>
    <t xml:space="preserve">Using phones (one hour / day) </t>
  </si>
  <si>
    <t xml:space="preserve">(note - 365 days in FY 23-24) </t>
  </si>
  <si>
    <t>Monday - Friday days</t>
  </si>
  <si>
    <t xml:space="preserve">Phone use (1 hours / day) </t>
  </si>
  <si>
    <t xml:space="preserve">Smart phone - use an hour </t>
  </si>
  <si>
    <t xml:space="preserve">Annual leave </t>
  </si>
  <si>
    <t>Working days / year</t>
  </si>
  <si>
    <t>Team carbon</t>
  </si>
  <si>
    <t xml:space="preserve">Carbon footprint of our team working at their computers, using their phones 2023-24 financial year </t>
  </si>
  <si>
    <t xml:space="preserve">Or, if we just used the "average" </t>
  </si>
  <si>
    <t>Average cost is then:</t>
  </si>
  <si>
    <t>Which is % more</t>
  </si>
  <si>
    <t>Using PowerBi report direct from Microsoft</t>
  </si>
  <si>
    <t xml:space="preserve">Microsoft 365 / SharePoint / OneDrive (note - this is live, and updated) </t>
  </si>
  <si>
    <t xml:space="preserve">External screen (average) </t>
  </si>
  <si>
    <t>Coffee</t>
  </si>
  <si>
    <t xml:space="preserve">Not sending one word emails! If the email does not contribute to the conversation - don't send it (e.g. Thanks! Will do!) </t>
  </si>
  <si>
    <t>Not keeping emails that you don't need, unsubscribing from emails that you don't need for your role</t>
  </si>
  <si>
    <t xml:space="preserve">Add number of people once reported </t>
  </si>
  <si>
    <t>Example of why flights are the #1 issue for our team</t>
  </si>
  <si>
    <t>So far this financial year (to end march 2024), our flights CO2 is 12.382 / AUD247.64</t>
  </si>
  <si>
    <t>Cost of online presence for the entire financial year will be CO2 0.65 / AUD12.10</t>
  </si>
  <si>
    <t>Cost of offset for laptops purchased CO2 3.5 / AUD70.04</t>
  </si>
  <si>
    <t>Flights</t>
  </si>
  <si>
    <t>Hotels</t>
  </si>
  <si>
    <t xml:space="preserve">A cup of black coffee </t>
  </si>
  <si>
    <r>
      <rPr>
        <b/>
        <sz val="11"/>
        <color theme="1"/>
        <rFont val="Calibri"/>
        <family val="2"/>
      </rPr>
      <t xml:space="preserve">Update J6 with </t>
    </r>
    <r>
      <rPr>
        <sz val="11"/>
        <color theme="1"/>
        <rFont val="Calibri"/>
        <family val="2"/>
      </rPr>
      <t>the price of carbon for your own off-set program</t>
    </r>
  </si>
  <si>
    <t>Number of people on macs</t>
  </si>
  <si>
    <t>Number of people on PC</t>
  </si>
  <si>
    <t xml:space="preserve">Number of people on desktop </t>
  </si>
  <si>
    <t>Length of meeting (in hours)</t>
  </si>
  <si>
    <t>Total Carbon footprint of meeting</t>
  </si>
  <si>
    <t>Total AUD offset cost</t>
  </si>
  <si>
    <t>Estimate carbon cost of online video meetings (tonne)</t>
  </si>
  <si>
    <t xml:space="preserve">Only add numbers to the blue cells </t>
  </si>
  <si>
    <t>Org own</t>
  </si>
  <si>
    <t>Number of Mac Laptops</t>
  </si>
  <si>
    <t>Number of PC Laptops</t>
  </si>
  <si>
    <t>Estimate carbon cost of our team's laptops</t>
  </si>
  <si>
    <t>NM</t>
  </si>
  <si>
    <t>CS</t>
  </si>
  <si>
    <t>KL</t>
  </si>
  <si>
    <t>LH</t>
  </si>
  <si>
    <t>FB</t>
  </si>
  <si>
    <t>JD</t>
  </si>
  <si>
    <t>HW</t>
  </si>
  <si>
    <t>Phone use hours / day</t>
  </si>
  <si>
    <t>Average laptop</t>
  </si>
  <si>
    <t>Apple Mac laptop</t>
  </si>
  <si>
    <t>Hours should be written as 7.5 or 5, etc</t>
  </si>
  <si>
    <t>Days worked per year</t>
  </si>
  <si>
    <t xml:space="preserve">Total carbon per year </t>
  </si>
  <si>
    <t xml:space="preserve">Total cost (AUD) per year </t>
  </si>
  <si>
    <t>Total carbon cost / day</t>
  </si>
  <si>
    <t>Total cost AUD</t>
  </si>
  <si>
    <t>Online*</t>
  </si>
  <si>
    <t>Office*</t>
  </si>
  <si>
    <t>Technology*</t>
  </si>
  <si>
    <t>*first 3/4 of year</t>
  </si>
  <si>
    <t>Flights + hotels = 77% carbon footprint</t>
  </si>
  <si>
    <t>Taxi travel</t>
  </si>
  <si>
    <t xml:space="preserve">A latte (large) </t>
  </si>
  <si>
    <t xml:space="preserve">In an electric vehicle </t>
  </si>
  <si>
    <t xml:space="preserve">In a hybrid </t>
  </si>
  <si>
    <t>In a SUV</t>
  </si>
  <si>
    <t>In an average (petrol) car</t>
  </si>
  <si>
    <t>Example: CEO home to ADL airport return electric</t>
  </si>
  <si>
    <t>Example: CEO home to ADL airport return hybrid</t>
  </si>
  <si>
    <t>Example: CEO home to ADL airport return petrol</t>
  </si>
  <si>
    <t>Flight A - B</t>
  </si>
  <si>
    <t>DO NOT EDIT once set</t>
  </si>
  <si>
    <t>INSTRUCTIONS</t>
  </si>
  <si>
    <t xml:space="preserve">Update this table (W/X)with your common desitnations - it will update the calculator sheet </t>
  </si>
  <si>
    <t>Cost of AUD will be updated by updating the master carbon cost (on main sheet) - ensure your carbon cost is per tonne</t>
  </si>
  <si>
    <t xml:space="preserve">Note: 30 min meeting is 0.5 hours, etc </t>
  </si>
  <si>
    <t>Cost of a trip</t>
  </si>
  <si>
    <r>
      <t xml:space="preserve">Flight CO2e </t>
    </r>
    <r>
      <rPr>
        <i/>
        <sz val="11"/>
        <color theme="1"/>
        <rFont val="Calibri"/>
        <family val="2"/>
      </rPr>
      <t>Check flight sheet</t>
    </r>
  </si>
  <si>
    <r>
      <t xml:space="preserve">Night in a hotel </t>
    </r>
    <r>
      <rPr>
        <i/>
        <sz val="11"/>
        <color theme="1"/>
        <rFont val="Calibri"/>
        <family val="2"/>
      </rPr>
      <t>good footprint credentials</t>
    </r>
  </si>
  <si>
    <r>
      <t xml:space="preserve">Night in a hotel </t>
    </r>
    <r>
      <rPr>
        <i/>
        <sz val="11"/>
        <color theme="1"/>
        <rFont val="Calibri"/>
        <family val="2"/>
      </rPr>
      <t>average eco credentials</t>
    </r>
  </si>
  <si>
    <r>
      <t xml:space="preserve">Lavish hotel, </t>
    </r>
    <r>
      <rPr>
        <i/>
        <sz val="11"/>
        <color theme="1"/>
        <rFont val="Calibri"/>
        <family val="2"/>
      </rPr>
      <t>no eco credentials</t>
    </r>
  </si>
  <si>
    <t xml:space="preserve">Luxury hotel: The lights and TV are already on, it's too hot or cold so you open a window, to stay one night you make your way through multiple towels and several small plastic bottles. There is a pool. </t>
  </si>
  <si>
    <t xml:space="preserve">Eco hotel: Good energy management, ability to adjust the temperature of the room, not replacing laundry unless asked, a general sense of care, food is not more than you can sensible eat </t>
  </si>
  <si>
    <t>Lavish hotel, no eco credentials (see notes)</t>
  </si>
  <si>
    <t xml:space="preserve">Night in a hotel with good footprint credentials (see notes) </t>
  </si>
  <si>
    <t xml:space="preserve">DON'T use "averages" unless there is no other option. Why? They are based on a worst-case-scenario </t>
  </si>
  <si>
    <t xml:space="preserve">Assume four weeks annual leave taken, all public holidays not working </t>
  </si>
  <si>
    <t xml:space="preserve">Things that we can reduce related to digital footprint include: </t>
  </si>
  <si>
    <t xml:space="preserve">Filing documents in folders, online - and adding the link to the Trello card only (not load up to download and save in multiple locations) </t>
  </si>
  <si>
    <t>Cost of offset for home working will be approx. (as staff figures are still to be entered): CO2 3.97 / AUD79.53</t>
  </si>
  <si>
    <t>Signal - unclear, likely more about phone use and computer use</t>
  </si>
  <si>
    <t>Transport (Uber) - using electric if possible, select hybrid next and petrol next. Avoid large vehicles where possible</t>
  </si>
  <si>
    <t>Hours / day web-browsing</t>
  </si>
  <si>
    <t>Add monthly use once calculated</t>
  </si>
  <si>
    <t xml:space="preserve">KM in an electric vehicle </t>
  </si>
  <si>
    <t xml:space="preserve">KM n a hybrid </t>
  </si>
  <si>
    <t>KM in an average (petrol) car</t>
  </si>
  <si>
    <t>KM In a SUV</t>
  </si>
  <si>
    <t>Flights (all flights return) - Use FLIGHTS tab to track, example flights below</t>
  </si>
  <si>
    <t xml:space="preserve">Other </t>
  </si>
  <si>
    <t>Total Carbon footprint of trip</t>
  </si>
  <si>
    <t>Driving only half the CO2e comes from the exhaust pipe</t>
  </si>
  <si>
    <t xml:space="preserve">Driving rates were originally based on 1 mile = 1.61 km (original CO2e was in miles) </t>
  </si>
  <si>
    <t xml:space="preserve">Working days / 203-24 FY </t>
  </si>
  <si>
    <t xml:space="preserve">How much is that worth? Example activities </t>
  </si>
  <si>
    <t xml:space="preserve">See table below for total days by FTE for the 23/24 financial year </t>
  </si>
  <si>
    <t>Estimate carbon cost of working online</t>
  </si>
  <si>
    <t xml:space="preserve">Does not include the external screen and external devices - still looking for this data </t>
  </si>
  <si>
    <t>TOTAL COST OF TEAM YEAR</t>
  </si>
  <si>
    <t>TOTAL COST OF TEAM DAY</t>
  </si>
  <si>
    <t>(when all working)</t>
  </si>
  <si>
    <t xml:space="preserve">(based on FTE) </t>
  </si>
  <si>
    <t>Contact lauren.hallett@femilipngaus.org for more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</si>
</sst>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_(* #,##0.0000_);_(* \(#,##0.0000\);_(* &quot;-&quot;??_);_(@_)"/>
    <numFmt numFmtId="168" formatCode="_(* #,##0.00000_);_(* \(#,##0.00000\);_(* &quot;-&quot;??_);_(@_)"/>
    <numFmt numFmtId="169" formatCode="_(* #,##0.000_);_(* \(#,##0.000\);_(* &quot;-&quot;??_);_(@_)"/>
    <numFmt numFmtId="170" formatCode="0.0000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u/>
      <sz val="12"/>
      <color theme="10"/>
      <name val="Aptos Narrow"/>
      <family val="2"/>
      <scheme val="minor"/>
    </font>
    <font>
      <b/>
      <sz val="10"/>
      <color theme="1"/>
      <name val="Calibri"/>
      <family val="2"/>
    </font>
    <font>
      <i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3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7" fontId="5" fillId="0" borderId="9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" fontId="5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8" borderId="13" xfId="0" applyFont="1" applyFill="1" applyBorder="1" applyAlignment="1">
      <alignment vertical="center" wrapText="1"/>
    </xf>
    <xf numFmtId="0" fontId="8" fillId="8" borderId="14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6" borderId="16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9" borderId="0" xfId="0" applyFont="1" applyFill="1" applyAlignment="1">
      <alignment vertical="center"/>
    </xf>
    <xf numFmtId="9" fontId="2" fillId="0" borderId="0" xfId="2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9" fontId="2" fillId="3" borderId="1" xfId="2" applyFont="1" applyFill="1" applyBorder="1" applyAlignment="1">
      <alignment vertical="center"/>
    </xf>
    <xf numFmtId="164" fontId="2" fillId="3" borderId="1" xfId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2" fontId="2" fillId="0" borderId="0" xfId="2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3" fillId="3" borderId="0" xfId="1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2" fillId="0" borderId="0" xfId="0" applyFont="1" applyAlignment="1">
      <alignment horizontal="left" vertical="center" indent="2"/>
    </xf>
    <xf numFmtId="164" fontId="2" fillId="2" borderId="0" xfId="0" applyNumberFormat="1" applyFont="1" applyFill="1" applyAlignment="1">
      <alignment vertical="center"/>
    </xf>
    <xf numFmtId="169" fontId="2" fillId="0" borderId="0" xfId="0" applyNumberFormat="1" applyFont="1" applyAlignment="1">
      <alignment vertical="center"/>
    </xf>
    <xf numFmtId="0" fontId="3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2" fillId="1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12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11" borderId="25" xfId="0" applyFont="1" applyFill="1" applyBorder="1" applyAlignment="1">
      <alignment vertical="center"/>
    </xf>
    <xf numFmtId="0" fontId="2" fillId="11" borderId="26" xfId="0" applyFont="1" applyFill="1" applyBorder="1" applyAlignment="1">
      <alignment vertical="center"/>
    </xf>
    <xf numFmtId="0" fontId="2" fillId="11" borderId="27" xfId="0" applyFont="1" applyFill="1" applyBorder="1" applyAlignment="1">
      <alignment vertical="center"/>
    </xf>
    <xf numFmtId="0" fontId="2" fillId="11" borderId="19" xfId="0" applyFont="1" applyFill="1" applyBorder="1" applyAlignment="1">
      <alignment vertical="center"/>
    </xf>
    <xf numFmtId="0" fontId="2" fillId="11" borderId="20" xfId="0" applyFont="1" applyFill="1" applyBorder="1" applyAlignment="1">
      <alignment vertical="center"/>
    </xf>
    <xf numFmtId="0" fontId="2" fillId="11" borderId="23" xfId="0" applyFont="1" applyFill="1" applyBorder="1" applyAlignment="1">
      <alignment vertical="center"/>
    </xf>
    <xf numFmtId="0" fontId="2" fillId="11" borderId="24" xfId="0" applyFont="1" applyFill="1" applyBorder="1" applyAlignment="1">
      <alignment vertical="center"/>
    </xf>
    <xf numFmtId="0" fontId="3" fillId="11" borderId="18" xfId="0" applyFont="1" applyFill="1" applyBorder="1" applyAlignment="1">
      <alignment vertical="center"/>
    </xf>
    <xf numFmtId="164" fontId="2" fillId="2" borderId="0" xfId="1" applyFont="1" applyFill="1" applyAlignment="1">
      <alignment vertical="center"/>
    </xf>
    <xf numFmtId="164" fontId="8" fillId="2" borderId="15" xfId="1" applyFont="1" applyFill="1" applyBorder="1" applyAlignment="1">
      <alignment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166" fontId="5" fillId="3" borderId="22" xfId="0" applyNumberFormat="1" applyFont="1" applyFill="1" applyBorder="1" applyAlignment="1">
      <alignment vertical="center" wrapText="1"/>
    </xf>
    <xf numFmtId="166" fontId="5" fillId="3" borderId="24" xfId="0" applyNumberFormat="1" applyFont="1" applyFill="1" applyBorder="1" applyAlignment="1">
      <alignment vertical="center" wrapText="1"/>
    </xf>
    <xf numFmtId="0" fontId="0" fillId="11" borderId="0" xfId="0" applyFill="1"/>
    <xf numFmtId="0" fontId="8" fillId="11" borderId="0" xfId="0" applyFont="1" applyFill="1" applyAlignment="1">
      <alignment vertical="center"/>
    </xf>
    <xf numFmtId="164" fontId="3" fillId="2" borderId="0" xfId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2" fillId="11" borderId="25" xfId="0" applyNumberFormat="1" applyFont="1" applyFill="1" applyBorder="1" applyAlignment="1">
      <alignment vertical="center"/>
    </xf>
    <xf numFmtId="170" fontId="2" fillId="0" borderId="0" xfId="0" applyNumberFormat="1" applyFont="1" applyAlignment="1">
      <alignment vertical="center"/>
    </xf>
    <xf numFmtId="167" fontId="2" fillId="7" borderId="0" xfId="1" applyNumberFormat="1" applyFont="1" applyFill="1" applyAlignment="1">
      <alignment vertical="center"/>
    </xf>
    <xf numFmtId="0" fontId="9" fillId="0" borderId="2" xfId="0" applyFont="1" applyBorder="1" applyAlignment="1">
      <alignment vertical="center"/>
    </xf>
    <xf numFmtId="164" fontId="2" fillId="0" borderId="0" xfId="1" applyFont="1" applyFill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" fillId="11" borderId="21" xfId="0" applyFont="1" applyFill="1" applyBorder="1" applyAlignment="1">
      <alignment vertical="center"/>
    </xf>
    <xf numFmtId="0" fontId="2" fillId="11" borderId="13" xfId="0" applyFont="1" applyFill="1" applyBorder="1" applyAlignment="1">
      <alignment vertical="center"/>
    </xf>
    <xf numFmtId="0" fontId="2" fillId="7" borderId="31" xfId="0" applyFont="1" applyFill="1" applyBorder="1" applyAlignment="1">
      <alignment vertical="center"/>
    </xf>
    <xf numFmtId="0" fontId="2" fillId="0" borderId="32" xfId="0" applyFont="1" applyBorder="1" applyAlignment="1">
      <alignment vertical="center"/>
    </xf>
    <xf numFmtId="164" fontId="2" fillId="7" borderId="31" xfId="0" applyNumberFormat="1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7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64" fontId="2" fillId="2" borderId="35" xfId="1" applyFont="1" applyFill="1" applyBorder="1" applyAlignment="1">
      <alignment vertical="center"/>
    </xf>
    <xf numFmtId="0" fontId="3" fillId="14" borderId="36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164" fontId="2" fillId="14" borderId="38" xfId="0" applyNumberFormat="1" applyFont="1" applyFill="1" applyBorder="1" applyAlignment="1">
      <alignment vertical="center"/>
    </xf>
    <xf numFmtId="164" fontId="2" fillId="14" borderId="12" xfId="0" applyNumberFormat="1" applyFont="1" applyFill="1" applyBorder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Carbon</a:t>
            </a:r>
            <a:r>
              <a:rPr lang="en-GB" baseline="0"/>
              <a:t> Footprint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51-4744-9996-7F842253F7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51-4744-9996-7F842253F7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51-4744-9996-7F842253F7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51-4744-9996-7F842253F7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51-4744-9996-7F842253F73F}"/>
              </c:ext>
            </c:extLst>
          </c:dPt>
          <c:cat>
            <c:strRef>
              <c:f>'Carbon calculation'!$J$34:$J$38</c:f>
              <c:strCache>
                <c:ptCount val="5"/>
                <c:pt idx="0">
                  <c:v>Flights</c:v>
                </c:pt>
                <c:pt idx="1">
                  <c:v>Hotels</c:v>
                </c:pt>
                <c:pt idx="2">
                  <c:v>Online*</c:v>
                </c:pt>
                <c:pt idx="3">
                  <c:v>Office*</c:v>
                </c:pt>
                <c:pt idx="4">
                  <c:v>Technology*</c:v>
                </c:pt>
              </c:strCache>
            </c:strRef>
          </c:cat>
          <c:val>
            <c:numRef>
              <c:f>'Carbon calculation'!$K$34:$K$38</c:f>
              <c:numCache>
                <c:formatCode>_(* #,##0.00_);_(* \(#,##0.00\);_(* "-"??_);_(@_)</c:formatCode>
                <c:ptCount val="5"/>
                <c:pt idx="0">
                  <c:v>274</c:v>
                </c:pt>
                <c:pt idx="1">
                  <c:v>39</c:v>
                </c:pt>
                <c:pt idx="2" formatCode="General">
                  <c:v>9.0749999999999993</c:v>
                </c:pt>
                <c:pt idx="3" formatCode="General">
                  <c:v>59.647500000000001</c:v>
                </c:pt>
                <c:pt idx="4" formatCode="General">
                  <c:v>52.53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3-FB49-9D25-4D0D52D1F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262758</xdr:colOff>
      <xdr:row>35</xdr:row>
      <xdr:rowOff>3504</xdr:rowOff>
    </xdr:from>
    <xdr:to>
      <xdr:col>8</xdr:col>
      <xdr:colOff>3595413</xdr:colOff>
      <xdr:row>45</xdr:row>
      <xdr:rowOff>206704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A5BFE2-A0B6-D18F-02B0-58627E05D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tlassian.com/company/corporate-social-responsibility/report?tab=planet" TargetMode="External"/><Relationship Id="rId2" Type="http://schemas.openxmlformats.org/officeDocument/2006/relationships/hyperlink" Target="https://blog.dropbox.com/topics/technology/reaching-our-sustainability-goals-through-our-data-centers" TargetMode="External"/><Relationship Id="rId1" Type="http://schemas.openxmlformats.org/officeDocument/2006/relationships/hyperlink" Target="https://co2.myclimate.org/en/flight_calculators/new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carbonpositiveaustralia.org.au/calcul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3DB0-4176-8748-A486-70837D398784}">
  <dimension ref="B2:W76"/>
  <sheetViews>
    <sheetView showGridLines="0" topLeftCell="C1" zoomScale="125" zoomScaleNormal="145" workbookViewId="0">
      <selection activeCell="I6" sqref="I6"/>
    </sheetView>
  </sheetViews>
  <sheetFormatPr defaultColWidth="10.875" defaultRowHeight="20.100000000000001" customHeight="1" x14ac:dyDescent="0.25"/>
  <cols>
    <col min="1" max="1" width="3.375" style="1" customWidth="1"/>
    <col min="2" max="2" width="3.375" style="4" customWidth="1"/>
    <col min="3" max="3" width="67.125" style="1" customWidth="1"/>
    <col min="4" max="6" width="10.875" style="1"/>
    <col min="7" max="7" width="5.125" style="1" customWidth="1"/>
    <col min="8" max="8" width="3.625" style="1" customWidth="1"/>
    <col min="9" max="9" width="82" style="1" customWidth="1"/>
    <col min="10" max="10" width="10.625" style="1" customWidth="1"/>
    <col min="11" max="11" width="8.5" style="1" customWidth="1"/>
    <col min="12" max="23" width="17.125" style="1" customWidth="1"/>
    <col min="24" max="16384" width="10.875" style="1"/>
  </cols>
  <sheetData>
    <row r="2" spans="2:14" ht="20.100000000000001" customHeight="1" x14ac:dyDescent="0.25">
      <c r="B2" s="8"/>
      <c r="C2" s="9" t="s">
        <v>70</v>
      </c>
      <c r="D2" s="10"/>
      <c r="E2" s="10"/>
      <c r="F2" s="10"/>
      <c r="I2" s="3" t="s">
        <v>220</v>
      </c>
    </row>
    <row r="3" spans="2:14" ht="20.100000000000001" customHeight="1" x14ac:dyDescent="0.25">
      <c r="B3" s="4" t="s">
        <v>17</v>
      </c>
      <c r="D3" s="136" t="s">
        <v>72</v>
      </c>
      <c r="E3" s="136"/>
      <c r="F3" s="136"/>
      <c r="I3" s="81" t="s">
        <v>16</v>
      </c>
      <c r="J3" s="2"/>
    </row>
    <row r="4" spans="2:14" ht="20.100000000000001" customHeight="1" x14ac:dyDescent="0.25">
      <c r="B4" s="5"/>
      <c r="C4" s="6" t="s">
        <v>67</v>
      </c>
      <c r="D4" s="61" t="s">
        <v>18</v>
      </c>
      <c r="E4" s="61" t="s">
        <v>48</v>
      </c>
      <c r="F4" s="61" t="s">
        <v>71</v>
      </c>
      <c r="I4" s="1" t="s">
        <v>43</v>
      </c>
    </row>
    <row r="5" spans="2:14" ht="20.100000000000001" customHeight="1" x14ac:dyDescent="0.25">
      <c r="B5" s="4">
        <v>1</v>
      </c>
      <c r="C5" s="1" t="s">
        <v>39</v>
      </c>
      <c r="D5" s="2">
        <v>326</v>
      </c>
      <c r="E5" s="1">
        <f>D5/1000</f>
        <v>0.32600000000000001</v>
      </c>
      <c r="F5" s="57">
        <f>E5*$J$8</f>
        <v>6.5200000000000005</v>
      </c>
      <c r="I5" s="2" t="s">
        <v>15</v>
      </c>
    </row>
    <row r="6" spans="2:14" ht="20.100000000000001" customHeight="1" x14ac:dyDescent="0.25">
      <c r="B6" s="4">
        <v>1</v>
      </c>
      <c r="C6" s="1" t="s">
        <v>40</v>
      </c>
      <c r="D6" s="2">
        <v>329</v>
      </c>
      <c r="E6" s="1">
        <f>D6/1000</f>
        <v>0.32900000000000001</v>
      </c>
      <c r="F6" s="57">
        <f>E6*$J$8</f>
        <v>6.58</v>
      </c>
      <c r="I6" s="1" t="s">
        <v>190</v>
      </c>
    </row>
    <row r="7" spans="2:14" ht="20.100000000000001" customHeight="1" x14ac:dyDescent="0.25">
      <c r="B7" s="4">
        <v>1</v>
      </c>
      <c r="C7" s="1" t="s">
        <v>5</v>
      </c>
      <c r="D7" s="2">
        <v>475</v>
      </c>
      <c r="E7" s="1">
        <f>D7/1000</f>
        <v>0.47499999999999998</v>
      </c>
      <c r="F7" s="57">
        <f>E7*$J$8</f>
        <v>9.5</v>
      </c>
      <c r="I7" s="1" t="s">
        <v>189</v>
      </c>
      <c r="J7" s="2"/>
    </row>
    <row r="8" spans="2:14" ht="20.100000000000001" customHeight="1" x14ac:dyDescent="0.25">
      <c r="B8" s="5"/>
      <c r="C8" s="6" t="s">
        <v>108</v>
      </c>
      <c r="D8" s="6"/>
      <c r="E8" s="6"/>
      <c r="F8" s="6"/>
      <c r="I8" s="45" t="s">
        <v>49</v>
      </c>
      <c r="J8" s="65">
        <v>20</v>
      </c>
      <c r="K8" s="80" t="s">
        <v>135</v>
      </c>
      <c r="L8" s="80"/>
      <c r="M8" s="80"/>
      <c r="N8" s="80"/>
    </row>
    <row r="9" spans="2:14" ht="20.100000000000001" customHeight="1" x14ac:dyDescent="0.25">
      <c r="B9" s="4">
        <v>1</v>
      </c>
      <c r="C9" s="1" t="s">
        <v>113</v>
      </c>
      <c r="D9" s="2">
        <f>63/365</f>
        <v>0.17260273972602741</v>
      </c>
      <c r="E9" s="1">
        <f>D9/1000</f>
        <v>1.7260273972602742E-4</v>
      </c>
      <c r="F9" s="69">
        <f>E9*$J$8</f>
        <v>3.4520547945205483E-3</v>
      </c>
      <c r="I9" s="1" t="s">
        <v>75</v>
      </c>
      <c r="J9" s="2"/>
    </row>
    <row r="10" spans="2:14" ht="20.100000000000001" customHeight="1" x14ac:dyDescent="0.25">
      <c r="B10" s="5"/>
      <c r="C10" s="6" t="s">
        <v>57</v>
      </c>
      <c r="D10" s="7"/>
      <c r="E10" s="7"/>
      <c r="F10" s="68"/>
      <c r="G10" s="4"/>
      <c r="I10" s="1" t="s">
        <v>210</v>
      </c>
      <c r="J10" s="2"/>
    </row>
    <row r="11" spans="2:14" ht="20.100000000000001" customHeight="1" x14ac:dyDescent="0.25">
      <c r="B11" s="4">
        <v>1</v>
      </c>
      <c r="C11" s="1" t="s">
        <v>39</v>
      </c>
      <c r="D11" s="2">
        <v>2E-3</v>
      </c>
      <c r="E11" s="1">
        <f>D11/1000</f>
        <v>1.9999999999999999E-6</v>
      </c>
      <c r="F11" s="60">
        <f>E11*$J$8</f>
        <v>3.9999999999999996E-5</v>
      </c>
      <c r="G11" s="4"/>
      <c r="I11" s="45" t="s">
        <v>11</v>
      </c>
      <c r="J11" s="2"/>
    </row>
    <row r="12" spans="2:14" ht="20.100000000000001" customHeight="1" x14ac:dyDescent="0.25">
      <c r="B12" s="4">
        <v>1</v>
      </c>
      <c r="C12" s="1" t="s">
        <v>40</v>
      </c>
      <c r="D12" s="2">
        <v>3.0000000000000001E-3</v>
      </c>
      <c r="E12" s="1">
        <f>D12/1000</f>
        <v>3.0000000000000001E-6</v>
      </c>
      <c r="F12" s="60">
        <f>E12*$J$8</f>
        <v>6.0000000000000002E-5</v>
      </c>
      <c r="G12" s="4"/>
      <c r="H12" s="4">
        <v>1</v>
      </c>
      <c r="I12" s="1" t="s">
        <v>9</v>
      </c>
      <c r="J12" s="2"/>
    </row>
    <row r="13" spans="2:14" ht="20.100000000000001" customHeight="1" x14ac:dyDescent="0.25">
      <c r="B13" s="4">
        <v>1</v>
      </c>
      <c r="C13" s="1" t="s">
        <v>6</v>
      </c>
      <c r="D13" s="2">
        <v>0.01</v>
      </c>
      <c r="E13" s="1">
        <f>D13/1000</f>
        <v>1.0000000000000001E-5</v>
      </c>
      <c r="F13" s="60">
        <f>E13*$J$8</f>
        <v>2.0000000000000001E-4</v>
      </c>
      <c r="G13" s="4"/>
      <c r="H13" s="4">
        <v>2</v>
      </c>
      <c r="I13" s="13" t="s">
        <v>20</v>
      </c>
      <c r="J13" s="2"/>
    </row>
    <row r="14" spans="2:14" ht="20.100000000000001" customHeight="1" x14ac:dyDescent="0.25">
      <c r="B14" s="4">
        <v>1</v>
      </c>
      <c r="C14" s="1" t="s">
        <v>123</v>
      </c>
      <c r="D14" s="2"/>
      <c r="F14" s="60"/>
      <c r="G14" s="4"/>
      <c r="H14" s="4">
        <v>3</v>
      </c>
      <c r="I14" s="1" t="s">
        <v>105</v>
      </c>
      <c r="J14" s="2"/>
    </row>
    <row r="15" spans="2:14" ht="20.100000000000001" customHeight="1" x14ac:dyDescent="0.25">
      <c r="B15" s="4">
        <v>1</v>
      </c>
      <c r="C15" s="1" t="s">
        <v>7</v>
      </c>
      <c r="D15" s="2">
        <v>0.05</v>
      </c>
      <c r="E15" s="1">
        <f>D15/1000</f>
        <v>5.0000000000000002E-5</v>
      </c>
      <c r="F15" s="69">
        <f>E15*$J$8</f>
        <v>1E-3</v>
      </c>
      <c r="G15" s="4"/>
      <c r="H15" s="4">
        <v>3</v>
      </c>
      <c r="I15" s="13" t="s">
        <v>104</v>
      </c>
    </row>
    <row r="16" spans="2:14" ht="20.100000000000001" customHeight="1" x14ac:dyDescent="0.25">
      <c r="B16" s="5"/>
      <c r="C16" s="6" t="s">
        <v>8</v>
      </c>
      <c r="D16" s="7"/>
      <c r="E16" s="7"/>
      <c r="F16" s="68"/>
      <c r="G16" s="4"/>
      <c r="H16" s="4">
        <v>4</v>
      </c>
      <c r="I16" s="13" t="s">
        <v>102</v>
      </c>
    </row>
    <row r="17" spans="2:13" ht="20.100000000000001" customHeight="1" x14ac:dyDescent="0.25">
      <c r="B17" s="4">
        <v>1</v>
      </c>
      <c r="C17" s="1" t="s">
        <v>41</v>
      </c>
      <c r="D17" s="2">
        <v>2E-3</v>
      </c>
      <c r="E17" s="1">
        <f>D17/1000</f>
        <v>1.9999999999999999E-6</v>
      </c>
      <c r="F17" s="60">
        <f>E17*$J$8</f>
        <v>3.9999999999999996E-5</v>
      </c>
      <c r="H17" s="4">
        <v>4</v>
      </c>
      <c r="I17" s="13" t="s">
        <v>103</v>
      </c>
    </row>
    <row r="18" spans="2:13" ht="20.100000000000001" customHeight="1" x14ac:dyDescent="0.25">
      <c r="B18" s="4">
        <v>1</v>
      </c>
      <c r="C18" s="1" t="s">
        <v>2</v>
      </c>
      <c r="D18" s="2">
        <v>0.01</v>
      </c>
      <c r="E18" s="1">
        <f>D18/1000</f>
        <v>1.0000000000000001E-5</v>
      </c>
      <c r="F18" s="59">
        <f>E18*$J$8</f>
        <v>2.0000000000000001E-4</v>
      </c>
      <c r="H18" s="4">
        <v>5</v>
      </c>
      <c r="I18" s="1" t="s">
        <v>121</v>
      </c>
      <c r="J18" s="2"/>
    </row>
    <row r="19" spans="2:13" ht="20.100000000000001" customHeight="1" x14ac:dyDescent="0.25">
      <c r="B19" s="4">
        <v>1</v>
      </c>
      <c r="C19" s="1" t="s">
        <v>3</v>
      </c>
      <c r="D19" s="2">
        <v>0.05</v>
      </c>
      <c r="E19" s="1">
        <f>D19/1000</f>
        <v>5.0000000000000002E-5</v>
      </c>
      <c r="F19" s="60">
        <f>E19*$J$8</f>
        <v>1E-3</v>
      </c>
      <c r="J19" s="2"/>
      <c r="K19" s="11"/>
      <c r="L19" s="11"/>
      <c r="M19" s="11"/>
    </row>
    <row r="20" spans="2:13" ht="20.100000000000001" customHeight="1" x14ac:dyDescent="0.25">
      <c r="B20" s="5"/>
      <c r="C20" s="6" t="s">
        <v>13</v>
      </c>
      <c r="D20" s="7"/>
      <c r="E20" s="7"/>
      <c r="F20" s="68"/>
      <c r="I20" s="45" t="s">
        <v>55</v>
      </c>
      <c r="J20" s="2"/>
      <c r="K20" s="36"/>
      <c r="L20" s="36"/>
      <c r="M20" s="36"/>
    </row>
    <row r="21" spans="2:13" ht="20.100000000000001" customHeight="1" x14ac:dyDescent="0.25">
      <c r="B21" s="4">
        <v>1</v>
      </c>
      <c r="C21" s="1" t="s">
        <v>10</v>
      </c>
      <c r="D21" s="2">
        <v>1.7000000000000001E-2</v>
      </c>
      <c r="E21" s="1">
        <f>D21/1000</f>
        <v>1.7E-5</v>
      </c>
      <c r="F21" s="60">
        <f>E21*$J$8</f>
        <v>3.4000000000000002E-4</v>
      </c>
      <c r="I21" s="1" t="s">
        <v>56</v>
      </c>
      <c r="J21" s="2"/>
      <c r="K21" s="36"/>
      <c r="L21" s="36"/>
      <c r="M21" s="36"/>
    </row>
    <row r="22" spans="2:13" ht="20.100000000000001" customHeight="1" x14ac:dyDescent="0.25">
      <c r="B22" s="4">
        <v>1</v>
      </c>
      <c r="C22" s="1" t="s">
        <v>38</v>
      </c>
      <c r="D22" s="2">
        <v>3.0000000000000001E-3</v>
      </c>
      <c r="E22" s="1">
        <f>D22/1000</f>
        <v>3.0000000000000001E-6</v>
      </c>
      <c r="F22" s="60">
        <f>E22*$J$8</f>
        <v>6.0000000000000002E-5</v>
      </c>
      <c r="I22" s="1" t="s">
        <v>194</v>
      </c>
      <c r="J22" s="11"/>
    </row>
    <row r="23" spans="2:13" ht="20.100000000000001" customHeight="1" x14ac:dyDescent="0.25">
      <c r="B23" s="4">
        <v>1</v>
      </c>
      <c r="C23" s="1" t="s">
        <v>0</v>
      </c>
      <c r="D23" s="2">
        <f>0.0082*12</f>
        <v>9.8400000000000015E-2</v>
      </c>
      <c r="E23" s="1">
        <f>D23/1000</f>
        <v>9.840000000000002E-5</v>
      </c>
      <c r="F23" s="60">
        <f>E23*$J$8</f>
        <v>1.9680000000000006E-3</v>
      </c>
      <c r="J23" s="11"/>
    </row>
    <row r="24" spans="2:13" ht="20.100000000000001" customHeight="1" x14ac:dyDescent="0.25">
      <c r="B24" s="5"/>
      <c r="C24" s="6" t="s">
        <v>14</v>
      </c>
      <c r="D24" s="7"/>
      <c r="E24" s="7"/>
      <c r="F24" s="68"/>
      <c r="I24" s="66" t="s">
        <v>97</v>
      </c>
      <c r="J24" s="11"/>
    </row>
    <row r="25" spans="2:13" ht="20.100000000000001" customHeight="1" x14ac:dyDescent="0.25">
      <c r="B25" s="4">
        <v>1</v>
      </c>
      <c r="C25" s="1" t="s">
        <v>1</v>
      </c>
      <c r="D25" s="2">
        <v>8.0000000000000002E-3</v>
      </c>
      <c r="E25" s="1">
        <f>D25/1000</f>
        <v>7.9999999999999996E-6</v>
      </c>
      <c r="F25" s="60">
        <f>E25*$J$8</f>
        <v>1.5999999999999999E-4</v>
      </c>
      <c r="I25" s="11" t="s">
        <v>99</v>
      </c>
    </row>
    <row r="26" spans="2:13" ht="20.100000000000001" customHeight="1" x14ac:dyDescent="0.25">
      <c r="B26" s="4">
        <v>1</v>
      </c>
      <c r="C26" s="1" t="s">
        <v>12</v>
      </c>
      <c r="D26" s="2">
        <v>63</v>
      </c>
      <c r="E26" s="1">
        <f>D26/1000</f>
        <v>6.3E-2</v>
      </c>
      <c r="F26" s="57">
        <f>E26*$J$8</f>
        <v>1.26</v>
      </c>
      <c r="I26" s="11" t="s">
        <v>98</v>
      </c>
    </row>
    <row r="27" spans="2:13" ht="20.100000000000001" customHeight="1" x14ac:dyDescent="0.25">
      <c r="B27" s="5"/>
      <c r="C27" s="6" t="s">
        <v>42</v>
      </c>
      <c r="D27" s="7"/>
      <c r="E27" s="7"/>
      <c r="F27" s="68"/>
      <c r="I27" s="1" t="s">
        <v>195</v>
      </c>
    </row>
    <row r="28" spans="2:13" ht="20.100000000000001" customHeight="1" x14ac:dyDescent="0.25">
      <c r="B28" s="4">
        <v>1</v>
      </c>
      <c r="C28" s="1" t="s">
        <v>192</v>
      </c>
      <c r="D28" s="2">
        <v>3</v>
      </c>
      <c r="E28" s="1">
        <f>D28/1000</f>
        <v>3.0000000000000001E-3</v>
      </c>
      <c r="F28" s="57">
        <f>E28*$J$8</f>
        <v>0.06</v>
      </c>
      <c r="I28" s="67" t="s">
        <v>196</v>
      </c>
    </row>
    <row r="29" spans="2:13" ht="20.100000000000001" customHeight="1" x14ac:dyDescent="0.25">
      <c r="B29" s="4">
        <v>1</v>
      </c>
      <c r="C29" s="1" t="s">
        <v>4</v>
      </c>
      <c r="D29" s="2">
        <v>30</v>
      </c>
      <c r="E29" s="1">
        <f>D29/1000</f>
        <v>0.03</v>
      </c>
      <c r="F29" s="57">
        <f>E29*$J$8</f>
        <v>0.6</v>
      </c>
      <c r="I29" s="67" t="s">
        <v>125</v>
      </c>
    </row>
    <row r="30" spans="2:13" ht="20.100000000000001" customHeight="1" x14ac:dyDescent="0.25">
      <c r="B30" s="4">
        <v>1</v>
      </c>
      <c r="C30" s="1" t="s">
        <v>191</v>
      </c>
      <c r="D30" s="2">
        <v>75</v>
      </c>
      <c r="E30" s="1">
        <f>D30/1000</f>
        <v>7.4999999999999997E-2</v>
      </c>
      <c r="F30" s="57">
        <f>E30*$J$8</f>
        <v>1.5</v>
      </c>
      <c r="I30" s="67" t="s">
        <v>126</v>
      </c>
    </row>
    <row r="31" spans="2:13" ht="20.100000000000001" customHeight="1" x14ac:dyDescent="0.25">
      <c r="B31" s="5"/>
      <c r="C31" s="18" t="s">
        <v>74</v>
      </c>
      <c r="D31" s="61"/>
      <c r="E31" s="6"/>
      <c r="F31" s="68"/>
      <c r="I31" s="1" t="s">
        <v>199</v>
      </c>
    </row>
    <row r="32" spans="2:13" ht="20.100000000000001" customHeight="1" x14ac:dyDescent="0.25">
      <c r="B32" s="4">
        <v>3</v>
      </c>
      <c r="C32" s="1" t="s">
        <v>95</v>
      </c>
      <c r="E32" s="1">
        <f>(0.1)*12</f>
        <v>1.2000000000000002</v>
      </c>
      <c r="F32" s="57">
        <f>E32*$J$8</f>
        <v>24.000000000000004</v>
      </c>
      <c r="I32" s="1" t="s">
        <v>193</v>
      </c>
    </row>
    <row r="33" spans="2:13" ht="20.100000000000001" customHeight="1" x14ac:dyDescent="0.25">
      <c r="C33" s="1" t="s">
        <v>96</v>
      </c>
      <c r="E33" s="1">
        <f>'Example working sheet'!C45</f>
        <v>0.35409836065573774</v>
      </c>
      <c r="F33" s="57">
        <f>E33*$J$8</f>
        <v>7.0819672131147549</v>
      </c>
      <c r="I33" s="66" t="s">
        <v>128</v>
      </c>
    </row>
    <row r="34" spans="2:13" ht="20.100000000000001" customHeight="1" x14ac:dyDescent="0.25">
      <c r="B34" s="5"/>
      <c r="C34" s="18" t="s">
        <v>100</v>
      </c>
      <c r="D34" s="61"/>
      <c r="E34" s="6"/>
      <c r="F34" s="68"/>
      <c r="I34" s="1" t="s">
        <v>129</v>
      </c>
      <c r="J34" s="1" t="s">
        <v>132</v>
      </c>
      <c r="K34" s="57">
        <v>274</v>
      </c>
      <c r="L34" s="46">
        <f>K34/$K$39</f>
        <v>0.63096930933040118</v>
      </c>
      <c r="M34" s="58">
        <f>L34+L35</f>
        <v>0.72077880956356044</v>
      </c>
    </row>
    <row r="35" spans="2:13" ht="20.100000000000001" customHeight="1" x14ac:dyDescent="0.25">
      <c r="B35" s="4">
        <v>4</v>
      </c>
      <c r="C35" s="1" t="s">
        <v>101</v>
      </c>
      <c r="E35" s="1">
        <f>D35/1000</f>
        <v>0</v>
      </c>
      <c r="F35" s="57">
        <f>E35*$J$8</f>
        <v>0</v>
      </c>
      <c r="I35" s="1" t="s">
        <v>130</v>
      </c>
      <c r="J35" s="1" t="s">
        <v>133</v>
      </c>
      <c r="K35" s="57">
        <f>65*F29</f>
        <v>39</v>
      </c>
      <c r="L35" s="46">
        <f t="shared" ref="L35:L38" si="0">K35/$K$39</f>
        <v>8.9809500233159298E-2</v>
      </c>
    </row>
    <row r="36" spans="2:13" ht="20.100000000000001" customHeight="1" x14ac:dyDescent="0.25">
      <c r="B36" s="4">
        <v>5</v>
      </c>
      <c r="C36" s="1" t="s">
        <v>122</v>
      </c>
      <c r="E36" s="2">
        <v>0.100755</v>
      </c>
      <c r="F36" s="57">
        <f t="shared" ref="F36:F39" si="1">E36*$J$8</f>
        <v>2.0150999999999999</v>
      </c>
      <c r="I36" s="1" t="s">
        <v>197</v>
      </c>
      <c r="J36" s="1" t="s">
        <v>164</v>
      </c>
      <c r="K36" s="1">
        <f>12.1*0.75</f>
        <v>9.0749999999999993</v>
      </c>
      <c r="L36" s="46">
        <f t="shared" si="0"/>
        <v>2.0897979861946681E-2</v>
      </c>
    </row>
    <row r="37" spans="2:13" ht="20.100000000000001" customHeight="1" x14ac:dyDescent="0.25">
      <c r="C37" s="1" t="s">
        <v>198</v>
      </c>
      <c r="E37" s="1">
        <f t="shared" ref="E37:E39" si="2">D37/1000</f>
        <v>0</v>
      </c>
      <c r="F37" s="57">
        <f t="shared" si="1"/>
        <v>0</v>
      </c>
      <c r="I37" s="1" t="s">
        <v>131</v>
      </c>
      <c r="J37" s="1" t="s">
        <v>165</v>
      </c>
      <c r="K37" s="1">
        <f>79.53*0.75</f>
        <v>59.647500000000001</v>
      </c>
      <c r="L37" s="46">
        <f t="shared" si="0"/>
        <v>0.13735672218352227</v>
      </c>
    </row>
    <row r="38" spans="2:13" ht="20.100000000000001" customHeight="1" x14ac:dyDescent="0.25">
      <c r="C38" s="1" t="s">
        <v>106</v>
      </c>
      <c r="E38" s="1">
        <f t="shared" si="2"/>
        <v>0</v>
      </c>
      <c r="F38" s="57">
        <f t="shared" si="1"/>
        <v>0</v>
      </c>
      <c r="J38" s="1" t="s">
        <v>166</v>
      </c>
      <c r="K38" s="1">
        <f>70.04*0.75</f>
        <v>52.53</v>
      </c>
      <c r="L38" s="46">
        <f t="shared" si="0"/>
        <v>0.12096648839097071</v>
      </c>
    </row>
    <row r="39" spans="2:13" ht="20.100000000000001" customHeight="1" x14ac:dyDescent="0.25">
      <c r="B39" s="4">
        <v>1</v>
      </c>
      <c r="C39" s="1" t="s">
        <v>107</v>
      </c>
      <c r="D39" s="1">
        <v>8.0000000000000002E-3</v>
      </c>
      <c r="E39" s="1">
        <f t="shared" si="2"/>
        <v>7.9999999999999996E-6</v>
      </c>
      <c r="F39" s="59">
        <f t="shared" si="1"/>
        <v>1.5999999999999999E-4</v>
      </c>
      <c r="K39" s="57">
        <f>SUM(K34:K38)</f>
        <v>434.25249999999994</v>
      </c>
    </row>
    <row r="40" spans="2:13" ht="20.100000000000001" customHeight="1" x14ac:dyDescent="0.25">
      <c r="D40" s="136" t="s">
        <v>73</v>
      </c>
      <c r="E40" s="136"/>
      <c r="F40" s="136"/>
      <c r="J40" s="1" t="s">
        <v>167</v>
      </c>
    </row>
    <row r="41" spans="2:13" ht="20.100000000000001" customHeight="1" x14ac:dyDescent="0.25">
      <c r="B41" s="5"/>
      <c r="C41" s="18" t="s">
        <v>206</v>
      </c>
      <c r="D41" s="18"/>
      <c r="E41" s="73" t="s">
        <v>48</v>
      </c>
      <c r="F41" s="73" t="s">
        <v>71</v>
      </c>
    </row>
    <row r="42" spans="2:13" ht="20.100000000000001" customHeight="1" x14ac:dyDescent="0.25">
      <c r="B42" s="4">
        <v>2</v>
      </c>
      <c r="C42" s="11" t="s">
        <v>30</v>
      </c>
      <c r="E42" s="41">
        <v>1.3</v>
      </c>
      <c r="F42" s="57">
        <f t="shared" ref="F42:F49" si="3">E42*$J$8</f>
        <v>26</v>
      </c>
    </row>
    <row r="43" spans="2:13" ht="20.100000000000001" customHeight="1" x14ac:dyDescent="0.25">
      <c r="B43" s="4">
        <v>2</v>
      </c>
      <c r="C43" s="11" t="s">
        <v>31</v>
      </c>
      <c r="E43" s="41">
        <v>1.2</v>
      </c>
      <c r="F43" s="57">
        <f t="shared" si="3"/>
        <v>24</v>
      </c>
    </row>
    <row r="44" spans="2:13" ht="20.100000000000001" customHeight="1" x14ac:dyDescent="0.25">
      <c r="B44" s="4">
        <v>2</v>
      </c>
      <c r="C44" s="11" t="s">
        <v>32</v>
      </c>
      <c r="E44" s="41">
        <v>1.5</v>
      </c>
      <c r="F44" s="57">
        <f t="shared" si="3"/>
        <v>30</v>
      </c>
    </row>
    <row r="45" spans="2:13" ht="20.100000000000001" customHeight="1" x14ac:dyDescent="0.25">
      <c r="B45" s="4">
        <v>2</v>
      </c>
      <c r="C45" s="11" t="s">
        <v>33</v>
      </c>
      <c r="E45" s="41">
        <v>3.4000000000000002E-2</v>
      </c>
      <c r="F45" s="57">
        <f t="shared" si="3"/>
        <v>0.68</v>
      </c>
    </row>
    <row r="46" spans="2:13" ht="20.100000000000001" customHeight="1" x14ac:dyDescent="0.25">
      <c r="B46" s="4">
        <v>2</v>
      </c>
      <c r="C46" s="11" t="s">
        <v>34</v>
      </c>
      <c r="E46" s="41">
        <v>0.52500000000000002</v>
      </c>
      <c r="F46" s="57">
        <f t="shared" si="3"/>
        <v>10.5</v>
      </c>
    </row>
    <row r="47" spans="2:13" ht="20.100000000000001" customHeight="1" x14ac:dyDescent="0.25">
      <c r="B47" s="4">
        <v>2</v>
      </c>
      <c r="C47" s="11" t="s">
        <v>35</v>
      </c>
      <c r="E47" s="41">
        <v>0.52100000000000002</v>
      </c>
      <c r="F47" s="57">
        <f t="shared" si="3"/>
        <v>10.42</v>
      </c>
    </row>
    <row r="48" spans="2:13" ht="20.100000000000001" customHeight="1" x14ac:dyDescent="0.25">
      <c r="B48" s="4">
        <v>2</v>
      </c>
      <c r="C48" s="11" t="s">
        <v>36</v>
      </c>
      <c r="E48" s="41">
        <v>0.59</v>
      </c>
      <c r="F48" s="57">
        <f t="shared" si="3"/>
        <v>11.799999999999999</v>
      </c>
    </row>
    <row r="49" spans="2:23" ht="20.100000000000001" customHeight="1" x14ac:dyDescent="0.25">
      <c r="B49" s="4">
        <v>2</v>
      </c>
      <c r="C49" s="11" t="s">
        <v>50</v>
      </c>
      <c r="D49" s="2"/>
      <c r="E49" s="1">
        <v>0.35899999999999999</v>
      </c>
      <c r="F49" s="57">
        <f t="shared" si="3"/>
        <v>7.18</v>
      </c>
      <c r="I49" s="1" t="s">
        <v>168</v>
      </c>
    </row>
    <row r="50" spans="2:23" ht="20.100000000000001" customHeight="1" x14ac:dyDescent="0.25">
      <c r="B50" s="5"/>
      <c r="C50" s="18" t="s">
        <v>169</v>
      </c>
      <c r="D50" s="18"/>
      <c r="E50" s="73" t="s">
        <v>48</v>
      </c>
      <c r="F50" s="73" t="s">
        <v>71</v>
      </c>
    </row>
    <row r="51" spans="2:23" ht="20.100000000000001" customHeight="1" x14ac:dyDescent="0.25">
      <c r="C51" s="11" t="s">
        <v>209</v>
      </c>
      <c r="D51" s="136" t="s">
        <v>72</v>
      </c>
      <c r="E51" s="136"/>
      <c r="F51" s="136"/>
    </row>
    <row r="52" spans="2:23" ht="20.100000000000001" customHeight="1" x14ac:dyDescent="0.25">
      <c r="B52" s="4">
        <v>1</v>
      </c>
      <c r="C52" s="104" t="s">
        <v>171</v>
      </c>
      <c r="D52" s="2">
        <f>(0.18/1610)*1000</f>
        <v>0.11180124223602485</v>
      </c>
      <c r="E52" s="114">
        <f>D52/1000</f>
        <v>1.1180124223602485E-4</v>
      </c>
      <c r="F52" s="69">
        <f>E52*$J$8</f>
        <v>2.2360248447204972E-3</v>
      </c>
    </row>
    <row r="53" spans="2:23" ht="20.100000000000001" customHeight="1" x14ac:dyDescent="0.25">
      <c r="B53" s="4">
        <v>1</v>
      </c>
      <c r="C53" s="104" t="s">
        <v>172</v>
      </c>
      <c r="D53" s="2">
        <f>(0.29/1610)*1000</f>
        <v>0.18012422360248448</v>
      </c>
      <c r="E53" s="114">
        <f t="shared" ref="E53:E55" si="4">D53/1000</f>
        <v>1.8012422360248447E-4</v>
      </c>
      <c r="F53" s="69">
        <f t="shared" ref="F53:F55" si="5">E53*$J$8</f>
        <v>3.6024844720496892E-3</v>
      </c>
    </row>
    <row r="54" spans="2:23" ht="20.100000000000001" customHeight="1" x14ac:dyDescent="0.25">
      <c r="B54" s="4">
        <v>1</v>
      </c>
      <c r="C54" s="104" t="s">
        <v>174</v>
      </c>
      <c r="D54" s="2">
        <f>(0.53/1610)*1000</f>
        <v>0.32919254658385094</v>
      </c>
      <c r="E54" s="114">
        <f t="shared" si="4"/>
        <v>3.2919254658385095E-4</v>
      </c>
      <c r="F54" s="69">
        <f t="shared" si="5"/>
        <v>6.583850931677019E-3</v>
      </c>
    </row>
    <row r="55" spans="2:23" ht="20.100000000000001" customHeight="1" x14ac:dyDescent="0.25">
      <c r="B55" s="4">
        <v>1</v>
      </c>
      <c r="C55" s="104" t="s">
        <v>173</v>
      </c>
      <c r="D55" s="2">
        <f>(1.26/1610)*1000</f>
        <v>0.78260869565217395</v>
      </c>
      <c r="E55" s="114">
        <f t="shared" si="4"/>
        <v>7.8260869565217395E-4</v>
      </c>
      <c r="F55" s="69">
        <f t="shared" si="5"/>
        <v>1.5652173913043479E-2</v>
      </c>
    </row>
    <row r="56" spans="2:23" ht="20.100000000000001" customHeight="1" x14ac:dyDescent="0.25">
      <c r="B56" s="5"/>
      <c r="C56" s="6" t="s">
        <v>124</v>
      </c>
      <c r="D56" s="61" t="s">
        <v>18</v>
      </c>
      <c r="E56" s="61" t="s">
        <v>48</v>
      </c>
      <c r="F56" s="61" t="s">
        <v>71</v>
      </c>
    </row>
    <row r="57" spans="2:23" ht="20.100000000000001" customHeight="1" x14ac:dyDescent="0.25">
      <c r="B57" s="4">
        <v>1</v>
      </c>
      <c r="C57" s="1" t="s">
        <v>134</v>
      </c>
      <c r="D57" s="1">
        <v>8.6999999999999994E-2</v>
      </c>
      <c r="E57" s="1">
        <f>D57/1000</f>
        <v>8.7000000000000001E-5</v>
      </c>
      <c r="F57" s="69">
        <f>E57*$J$8</f>
        <v>1.74E-3</v>
      </c>
    </row>
    <row r="58" spans="2:23" ht="20.100000000000001" customHeight="1" x14ac:dyDescent="0.25">
      <c r="B58" s="4">
        <v>1</v>
      </c>
      <c r="C58" s="1" t="s">
        <v>170</v>
      </c>
      <c r="D58" s="1">
        <v>0.55200000000000005</v>
      </c>
      <c r="E58" s="1">
        <f>D58/1000</f>
        <v>5.5200000000000008E-4</v>
      </c>
      <c r="F58" s="69">
        <f>E58*$J$8</f>
        <v>1.1040000000000001E-2</v>
      </c>
    </row>
    <row r="62" spans="2:23" ht="20.100000000000001" customHeight="1" x14ac:dyDescent="0.25">
      <c r="O62" s="11"/>
      <c r="P62" s="11"/>
      <c r="Q62" s="11"/>
      <c r="R62" s="11"/>
      <c r="S62" s="11"/>
      <c r="T62" s="11"/>
      <c r="U62" s="11"/>
      <c r="V62" s="11"/>
      <c r="W62" s="11"/>
    </row>
    <row r="63" spans="2:23" ht="20.100000000000001" customHeight="1" x14ac:dyDescent="0.25">
      <c r="I63" s="11"/>
      <c r="J63" s="11"/>
      <c r="K63" s="11"/>
      <c r="L63" s="11"/>
      <c r="M63" s="11"/>
      <c r="N63" s="11"/>
      <c r="O63" s="36"/>
      <c r="P63" s="36"/>
      <c r="Q63" s="36"/>
      <c r="R63" s="36"/>
      <c r="S63" s="36"/>
      <c r="T63" s="11"/>
      <c r="U63" s="11"/>
      <c r="V63" s="11"/>
      <c r="W63" s="11"/>
    </row>
    <row r="64" spans="2:23" ht="20.100000000000001" customHeight="1" x14ac:dyDescent="0.25"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11"/>
      <c r="U64" s="11"/>
      <c r="V64" s="11"/>
      <c r="W64" s="11"/>
    </row>
    <row r="65" spans="9:23" ht="20.100000000000001" customHeight="1" x14ac:dyDescent="0.25">
      <c r="I65" s="36"/>
      <c r="J65" s="36"/>
      <c r="K65" s="36"/>
      <c r="L65" s="36"/>
      <c r="M65" s="36"/>
      <c r="N65" s="36"/>
      <c r="U65" s="11"/>
      <c r="V65" s="11"/>
      <c r="W65" s="11"/>
    </row>
    <row r="66" spans="9:23" ht="20.100000000000001" customHeight="1" x14ac:dyDescent="0.25">
      <c r="U66" s="11"/>
      <c r="V66" s="11"/>
      <c r="W66" s="11"/>
    </row>
    <row r="67" spans="9:23" ht="20.100000000000001" customHeight="1" x14ac:dyDescent="0.25">
      <c r="U67" s="11"/>
      <c r="V67" s="11"/>
      <c r="W67" s="11"/>
    </row>
    <row r="68" spans="9:23" ht="20.100000000000001" customHeight="1" x14ac:dyDescent="0.25">
      <c r="U68" s="11"/>
      <c r="V68" s="11"/>
      <c r="W68" s="11"/>
    </row>
    <row r="69" spans="9:23" ht="20.100000000000001" customHeight="1" x14ac:dyDescent="0.25">
      <c r="U69" s="11"/>
      <c r="V69" s="11"/>
      <c r="W69" s="11"/>
    </row>
    <row r="70" spans="9:23" ht="20.100000000000001" customHeight="1" x14ac:dyDescent="0.25">
      <c r="U70" s="11"/>
      <c r="V70" s="11"/>
      <c r="W70" s="11"/>
    </row>
    <row r="71" spans="9:23" ht="20.100000000000001" customHeight="1" x14ac:dyDescent="0.25">
      <c r="U71" s="11"/>
      <c r="V71" s="11"/>
      <c r="W71" s="11"/>
    </row>
    <row r="72" spans="9:23" ht="20.100000000000001" customHeight="1" x14ac:dyDescent="0.25">
      <c r="U72"/>
      <c r="V72"/>
      <c r="W72"/>
    </row>
    <row r="73" spans="9:23" ht="20.100000000000001" customHeight="1" x14ac:dyDescent="0.25">
      <c r="U73" s="11"/>
      <c r="V73" s="11"/>
      <c r="W73" s="11"/>
    </row>
    <row r="74" spans="9:23" ht="20.100000000000001" customHeight="1" x14ac:dyDescent="0.25">
      <c r="U74" s="11"/>
      <c r="V74" s="11"/>
      <c r="W74" s="11"/>
    </row>
    <row r="75" spans="9:23" ht="20.100000000000001" customHeight="1" x14ac:dyDescent="0.25">
      <c r="U75" s="11"/>
      <c r="V75" s="11"/>
      <c r="W75" s="11"/>
    </row>
    <row r="76" spans="9:23" ht="20.100000000000001" customHeight="1" x14ac:dyDescent="0.25">
      <c r="U76" s="11"/>
      <c r="V76" s="11"/>
      <c r="W76" s="11"/>
    </row>
  </sheetData>
  <mergeCells count="3">
    <mergeCell ref="D3:F3"/>
    <mergeCell ref="D40:F40"/>
    <mergeCell ref="D51:F51"/>
  </mergeCells>
  <hyperlinks>
    <hyperlink ref="I13" r:id="rId1" xr:uid="{5B9F4C7C-DFED-EC47-BDC3-D143D865E12D}"/>
    <hyperlink ref="I16" r:id="rId2" xr:uid="{80412400-0B92-2045-A2C8-F33DA6A5A14C}"/>
    <hyperlink ref="I17" r:id="rId3" xr:uid="{82A0410E-A21F-7142-85CB-62BA6B1F4389}"/>
    <hyperlink ref="I15" r:id="rId4" xr:uid="{2325BB71-14C5-4444-91ED-6FC54563FAB2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E49E-FADC-194D-9769-426CEF698F26}">
  <dimension ref="B2:T68"/>
  <sheetViews>
    <sheetView zoomScaleNormal="187" workbookViewId="0">
      <selection activeCell="F74" sqref="F74"/>
    </sheetView>
  </sheetViews>
  <sheetFormatPr defaultColWidth="10.875" defaultRowHeight="20.100000000000001" customHeight="1" x14ac:dyDescent="0.25"/>
  <cols>
    <col min="1" max="1" width="7.625" style="1" customWidth="1"/>
    <col min="2" max="2" width="30.375" style="1" customWidth="1"/>
    <col min="3" max="15" width="18.125" style="1" customWidth="1"/>
    <col min="16" max="16" width="30.625" style="1" bestFit="1" customWidth="1"/>
    <col min="17" max="17" width="10.875" style="1"/>
    <col min="18" max="18" width="13.625" style="1" bestFit="1" customWidth="1"/>
    <col min="19" max="19" width="15.125" style="1" bestFit="1" customWidth="1"/>
    <col min="20" max="20" width="31.875" style="1" bestFit="1" customWidth="1"/>
    <col min="21" max="16384" width="10.875" style="1"/>
  </cols>
  <sheetData>
    <row r="2" spans="2:20" ht="20.100000000000001" customHeight="1" x14ac:dyDescent="0.25">
      <c r="B2" s="81" t="s">
        <v>19</v>
      </c>
      <c r="C2" s="8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4" spans="2:20" ht="20.100000000000001" customHeight="1" x14ac:dyDescent="0.25">
      <c r="B4" s="82" t="s">
        <v>65</v>
      </c>
      <c r="C4" s="82"/>
      <c r="D4" s="82"/>
    </row>
    <row r="5" spans="2:20" ht="20.100000000000001" customHeight="1" x14ac:dyDescent="0.25">
      <c r="C5" s="44" t="s">
        <v>46</v>
      </c>
      <c r="D5" s="44" t="s">
        <v>47</v>
      </c>
    </row>
    <row r="6" spans="2:20" ht="20.100000000000001" customHeight="1" x14ac:dyDescent="0.25">
      <c r="B6" s="1" t="s">
        <v>44</v>
      </c>
      <c r="C6" s="1">
        <f>((6*'Carbon calculation'!E19)+(1*'Carbon calculation'!E18))/2</f>
        <v>1.5500000000000003E-4</v>
      </c>
      <c r="D6" s="1">
        <f>C6*45</f>
        <v>6.9750000000000012E-3</v>
      </c>
    </row>
    <row r="7" spans="2:20" ht="20.100000000000001" customHeight="1" x14ac:dyDescent="0.25">
      <c r="B7" s="1" t="s">
        <v>45</v>
      </c>
      <c r="C7" s="1">
        <f>((6*'Carbon calculation'!E19)+(1*'Carbon calculation'!E18))/2</f>
        <v>1.5500000000000003E-4</v>
      </c>
      <c r="D7" s="1">
        <f>C7*51</f>
        <v>7.9050000000000006E-3</v>
      </c>
    </row>
    <row r="8" spans="2:20" ht="20.100000000000001" customHeight="1" x14ac:dyDescent="0.25">
      <c r="C8" s="3" t="s">
        <v>48</v>
      </c>
      <c r="D8" s="42">
        <f>D6+D7</f>
        <v>1.4880000000000001E-2</v>
      </c>
    </row>
    <row r="9" spans="2:20" ht="20.100000000000001" customHeight="1" x14ac:dyDescent="0.25">
      <c r="C9" s="3" t="s">
        <v>52</v>
      </c>
      <c r="D9" s="43">
        <f>D8*'Carbon calculation'!J8</f>
        <v>0.29760000000000003</v>
      </c>
    </row>
    <row r="11" spans="2:20" ht="20.100000000000001" customHeight="1" x14ac:dyDescent="0.25">
      <c r="B11" s="82" t="s">
        <v>66</v>
      </c>
      <c r="C11" s="82"/>
      <c r="D11" s="82"/>
    </row>
    <row r="12" spans="2:20" ht="20.100000000000001" customHeight="1" x14ac:dyDescent="0.25">
      <c r="C12" s="44" t="s">
        <v>54</v>
      </c>
      <c r="D12" s="44" t="s">
        <v>53</v>
      </c>
    </row>
    <row r="13" spans="2:20" ht="20.100000000000001" customHeight="1" x14ac:dyDescent="0.25">
      <c r="B13" s="1" t="s">
        <v>51</v>
      </c>
      <c r="C13" s="1">
        <f>3*'Carbon calculation'!E7</f>
        <v>1.4249999999999998</v>
      </c>
      <c r="D13" s="1">
        <f>(2*'Carbon calculation'!E5)+(3*'Carbon calculation'!E7)</f>
        <v>2.077</v>
      </c>
    </row>
    <row r="14" spans="2:20" ht="20.100000000000001" customHeight="1" x14ac:dyDescent="0.25">
      <c r="C14" s="3" t="s">
        <v>48</v>
      </c>
      <c r="D14" s="1">
        <f>C13+D13</f>
        <v>3.5019999999999998</v>
      </c>
    </row>
    <row r="15" spans="2:20" ht="20.100000000000001" customHeight="1" x14ac:dyDescent="0.25">
      <c r="C15" s="3" t="s">
        <v>52</v>
      </c>
      <c r="D15" s="57">
        <f>D14*'Carbon calculation'!J8</f>
        <v>70.039999999999992</v>
      </c>
      <c r="F15" s="1" t="s">
        <v>111</v>
      </c>
    </row>
    <row r="16" spans="2:20" ht="20.100000000000001" customHeight="1" x14ac:dyDescent="0.25">
      <c r="B16" s="1" t="s">
        <v>109</v>
      </c>
      <c r="D16" s="1">
        <v>7</v>
      </c>
      <c r="F16" s="1">
        <f>366-106</f>
        <v>260</v>
      </c>
    </row>
    <row r="17" spans="2:20" ht="20.100000000000001" customHeight="1" x14ac:dyDescent="0.25">
      <c r="C17" s="3" t="s">
        <v>48</v>
      </c>
      <c r="D17" s="1">
        <f>D16*'Carbon calculation'!E9</f>
        <v>1.208219178082192E-3</v>
      </c>
    </row>
    <row r="18" spans="2:20" ht="20.100000000000001" customHeight="1" x14ac:dyDescent="0.25">
      <c r="C18" s="3" t="s">
        <v>52</v>
      </c>
      <c r="D18" s="57">
        <f>D17*'Carbon calculation'!J8</f>
        <v>2.416438356164384E-2</v>
      </c>
    </row>
    <row r="20" spans="2:20" ht="20.100000000000001" customHeight="1" x14ac:dyDescent="0.25">
      <c r="B20" s="82" t="s">
        <v>117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P20" s="82" t="s">
        <v>92</v>
      </c>
      <c r="Q20" s="82"/>
      <c r="R20" s="82"/>
      <c r="S20" s="82"/>
      <c r="T20" s="82"/>
    </row>
    <row r="21" spans="2:20" ht="20.100000000000001" customHeight="1" x14ac:dyDescent="0.25">
      <c r="B21" s="1" t="s">
        <v>116</v>
      </c>
      <c r="C21" s="1">
        <f>E29+H29+K29+N29+E37+H37+K37</f>
        <v>0.65999397534246562</v>
      </c>
      <c r="R21" s="1" t="s">
        <v>90</v>
      </c>
      <c r="S21" s="1" t="s">
        <v>91</v>
      </c>
      <c r="T21" s="1" t="s">
        <v>16</v>
      </c>
    </row>
    <row r="22" spans="2:20" ht="20.100000000000001" customHeight="1" x14ac:dyDescent="0.25">
      <c r="B22" s="1" t="s">
        <v>52</v>
      </c>
      <c r="C22" s="43">
        <f>C21*20</f>
        <v>13.199879506849312</v>
      </c>
      <c r="G22" s="46"/>
      <c r="P22" s="1" t="s">
        <v>148</v>
      </c>
      <c r="Q22" s="1">
        <v>20</v>
      </c>
      <c r="R22" s="46">
        <f t="shared" ref="R22:R28" si="0">Q22/$Q$29</f>
        <v>0.1</v>
      </c>
      <c r="S22" s="58">
        <f>E38</f>
        <v>0.13563635643149771</v>
      </c>
    </row>
    <row r="23" spans="2:20" ht="20.100000000000001" customHeight="1" x14ac:dyDescent="0.25">
      <c r="P23" s="1" t="s">
        <v>149</v>
      </c>
      <c r="Q23" s="1">
        <f>7.5*3</f>
        <v>22.5</v>
      </c>
      <c r="R23" s="46">
        <f t="shared" si="0"/>
        <v>0.1125</v>
      </c>
      <c r="S23" s="58">
        <f>H38</f>
        <v>0.10617033403306163</v>
      </c>
    </row>
    <row r="24" spans="2:20" ht="20.100000000000001" customHeight="1" x14ac:dyDescent="0.25">
      <c r="P24" s="1" t="s">
        <v>150</v>
      </c>
      <c r="Q24" s="1">
        <f>2*7.5</f>
        <v>15</v>
      </c>
      <c r="R24" s="46">
        <f t="shared" si="0"/>
        <v>7.4999999999999997E-2</v>
      </c>
      <c r="S24" s="58">
        <f>K38</f>
        <v>6.964696203266714E-2</v>
      </c>
    </row>
    <row r="25" spans="2:20" ht="20.100000000000001" customHeight="1" x14ac:dyDescent="0.25">
      <c r="C25" s="47" t="s">
        <v>60</v>
      </c>
      <c r="D25" s="47" t="s">
        <v>59</v>
      </c>
      <c r="E25" s="47" t="s">
        <v>61</v>
      </c>
      <c r="F25" s="52" t="s">
        <v>60</v>
      </c>
      <c r="G25" s="52" t="s">
        <v>59</v>
      </c>
      <c r="H25" s="52" t="s">
        <v>61</v>
      </c>
      <c r="I25" s="47" t="s">
        <v>60</v>
      </c>
      <c r="J25" s="47" t="s">
        <v>59</v>
      </c>
      <c r="K25" s="47" t="s">
        <v>61</v>
      </c>
      <c r="L25" s="52" t="s">
        <v>60</v>
      </c>
      <c r="M25" s="52" t="s">
        <v>59</v>
      </c>
      <c r="N25" s="52" t="s">
        <v>61</v>
      </c>
      <c r="P25" s="1" t="s">
        <v>151</v>
      </c>
      <c r="Q25" s="1">
        <f>7.5*5</f>
        <v>37.5</v>
      </c>
      <c r="R25" s="46">
        <f t="shared" si="0"/>
        <v>0.1875</v>
      </c>
      <c r="S25" s="58">
        <f>E30</f>
        <v>0.22713024267083293</v>
      </c>
      <c r="T25" s="1" t="s">
        <v>69</v>
      </c>
    </row>
    <row r="26" spans="2:20" ht="20.100000000000001" customHeight="1" x14ac:dyDescent="0.25">
      <c r="B26" s="49" t="s">
        <v>58</v>
      </c>
      <c r="C26" s="48">
        <f>7.5*0.8</f>
        <v>6</v>
      </c>
      <c r="D26" s="48">
        <f>C26*C60</f>
        <v>1296</v>
      </c>
      <c r="E26" s="48">
        <f>D26*'Carbon calculation'!$E$15</f>
        <v>6.4799999999999996E-2</v>
      </c>
      <c r="F26" s="48">
        <f>7.5*1</f>
        <v>7.5</v>
      </c>
      <c r="G26" s="48">
        <f>F26*C60</f>
        <v>1620</v>
      </c>
      <c r="H26" s="48">
        <f>G26*'Carbon calculation'!$E$15</f>
        <v>8.1000000000000003E-2</v>
      </c>
      <c r="I26" s="48">
        <f>7.5*1</f>
        <v>7.5</v>
      </c>
      <c r="J26" s="48">
        <f>I26*C60</f>
        <v>1620</v>
      </c>
      <c r="K26" s="48">
        <f>J26*'Carbon calculation'!$E$15</f>
        <v>8.1000000000000003E-2</v>
      </c>
      <c r="L26" s="48">
        <f>7.5*1</f>
        <v>7.5</v>
      </c>
      <c r="M26" s="48">
        <f>L26*C61</f>
        <v>1276.5000000000002</v>
      </c>
      <c r="N26" s="48">
        <f>M26*'Carbon calculation'!$E$15</f>
        <v>6.3825000000000021E-2</v>
      </c>
      <c r="P26" s="62" t="s">
        <v>152</v>
      </c>
      <c r="Q26" s="62">
        <v>37.5</v>
      </c>
      <c r="R26" s="46">
        <f t="shared" si="0"/>
        <v>0.1875</v>
      </c>
      <c r="S26" s="58">
        <f>H30</f>
        <v>0.17921707803385059</v>
      </c>
    </row>
    <row r="27" spans="2:20" ht="20.100000000000001" customHeight="1" x14ac:dyDescent="0.25">
      <c r="B27" s="49" t="s">
        <v>200</v>
      </c>
      <c r="C27" s="48">
        <f>7.5*0.3</f>
        <v>2.25</v>
      </c>
      <c r="D27" s="48">
        <f>C27*C60</f>
        <v>486</v>
      </c>
      <c r="E27" s="48">
        <f>D27*'Carbon calculation'!E23</f>
        <v>4.7822400000000008E-2</v>
      </c>
      <c r="F27" s="48">
        <f>7.5*0</f>
        <v>0</v>
      </c>
      <c r="G27" s="48">
        <f>F27*$C$60</f>
        <v>0</v>
      </c>
      <c r="H27" s="48">
        <f>G27*'Carbon calculation'!$E$23</f>
        <v>0</v>
      </c>
      <c r="I27" s="48">
        <f>7.5*0</f>
        <v>0</v>
      </c>
      <c r="J27" s="48">
        <f>I27*$C$60</f>
        <v>0</v>
      </c>
      <c r="K27" s="48">
        <f>J27*'Carbon calculation'!$E$23</f>
        <v>0</v>
      </c>
      <c r="L27" s="48">
        <f>7.5*0</f>
        <v>0</v>
      </c>
      <c r="M27" s="48">
        <f>L27*$C$60</f>
        <v>0</v>
      </c>
      <c r="N27" s="48">
        <f>M27*'Carbon calculation'!$E$23</f>
        <v>0</v>
      </c>
      <c r="P27" s="1" t="s">
        <v>153</v>
      </c>
      <c r="Q27" s="1">
        <v>37.5</v>
      </c>
      <c r="R27" s="46">
        <f t="shared" si="0"/>
        <v>0.1875</v>
      </c>
      <c r="S27" s="58">
        <f>K30</f>
        <v>0.17921707803385059</v>
      </c>
      <c r="T27" s="1" t="s">
        <v>68</v>
      </c>
    </row>
    <row r="28" spans="2:20" ht="20.100000000000001" customHeight="1" x14ac:dyDescent="0.25">
      <c r="B28" s="49" t="s">
        <v>112</v>
      </c>
      <c r="C28" s="48">
        <v>1</v>
      </c>
      <c r="D28" s="48">
        <f>C28*C60</f>
        <v>216</v>
      </c>
      <c r="E28" s="48">
        <f>D28*'Carbon calculation'!$E$9</f>
        <v>3.728219178082192E-2</v>
      </c>
      <c r="F28" s="48">
        <v>1</v>
      </c>
      <c r="G28" s="48">
        <f>F28*C60</f>
        <v>216</v>
      </c>
      <c r="H28" s="48">
        <f>G28*'Carbon calculation'!$E$9</f>
        <v>3.728219178082192E-2</v>
      </c>
      <c r="I28" s="48">
        <v>1</v>
      </c>
      <c r="J28" s="48">
        <f>I28*C60</f>
        <v>216</v>
      </c>
      <c r="K28" s="48">
        <f>J28*'Carbon calculation'!$E$9</f>
        <v>3.728219178082192E-2</v>
      </c>
      <c r="L28" s="48">
        <v>1</v>
      </c>
      <c r="M28" s="48">
        <f>L28*(6*4)</f>
        <v>24</v>
      </c>
      <c r="N28" s="48">
        <f>M28*'Carbon calculation'!$E$9</f>
        <v>4.1424657534246583E-3</v>
      </c>
      <c r="P28" s="1" t="s">
        <v>154</v>
      </c>
      <c r="Q28" s="1">
        <f>4*7.5</f>
        <v>30</v>
      </c>
      <c r="R28" s="46">
        <f t="shared" si="0"/>
        <v>0.15</v>
      </c>
      <c r="S28" s="58">
        <f>N30</f>
        <v>0.1029819487642397</v>
      </c>
    </row>
    <row r="29" spans="2:20" ht="20.100000000000001" customHeight="1" x14ac:dyDescent="0.25">
      <c r="D29" s="70" t="s">
        <v>62</v>
      </c>
      <c r="E29" s="71">
        <f>E26+E27+E28</f>
        <v>0.14990459178082194</v>
      </c>
      <c r="G29" s="70" t="s">
        <v>62</v>
      </c>
      <c r="H29" s="71">
        <f>H26+H27+H28</f>
        <v>0.11828219178082192</v>
      </c>
      <c r="J29" s="70" t="s">
        <v>62</v>
      </c>
      <c r="K29" s="71">
        <f>K26+K27+K28</f>
        <v>0.11828219178082192</v>
      </c>
      <c r="M29" s="70" t="s">
        <v>62</v>
      </c>
      <c r="N29" s="71">
        <f>N26+N27+N28</f>
        <v>6.7967465753424675E-2</v>
      </c>
      <c r="P29" s="1" t="s">
        <v>94</v>
      </c>
      <c r="Q29" s="1">
        <f>SUM(Q22:Q28)</f>
        <v>200</v>
      </c>
    </row>
    <row r="30" spans="2:20" ht="20.100000000000001" customHeight="1" x14ac:dyDescent="0.25">
      <c r="D30" s="53" t="s">
        <v>63</v>
      </c>
      <c r="E30" s="55">
        <f>E29/$C$21</f>
        <v>0.22713024267083293</v>
      </c>
      <c r="G30" s="53" t="s">
        <v>63</v>
      </c>
      <c r="H30" s="55">
        <f>H29/$C$21</f>
        <v>0.17921707803385059</v>
      </c>
      <c r="J30" s="53" t="s">
        <v>63</v>
      </c>
      <c r="K30" s="55">
        <f>K29/$C$21</f>
        <v>0.17921707803385059</v>
      </c>
      <c r="M30" s="53" t="s">
        <v>63</v>
      </c>
      <c r="N30" s="55">
        <f>N29/$C$21</f>
        <v>0.1029819487642397</v>
      </c>
      <c r="P30" s="1" t="s">
        <v>93</v>
      </c>
      <c r="Q30" s="1">
        <f>Q29*48</f>
        <v>9600</v>
      </c>
    </row>
    <row r="31" spans="2:20" ht="20.100000000000001" customHeight="1" x14ac:dyDescent="0.25">
      <c r="D31" s="53" t="s">
        <v>52</v>
      </c>
      <c r="E31" s="56">
        <f>E29*'Carbon calculation'!$J$8</f>
        <v>2.9980918356164388</v>
      </c>
      <c r="G31" s="53" t="s">
        <v>52</v>
      </c>
      <c r="H31" s="56">
        <f>H29*'Carbon calculation'!$J$8</f>
        <v>2.3656438356164382</v>
      </c>
      <c r="J31" s="53" t="s">
        <v>52</v>
      </c>
      <c r="K31" s="56">
        <f>K29*'Carbon calculation'!$J$8</f>
        <v>2.3656438356164382</v>
      </c>
      <c r="M31" s="53" t="s">
        <v>52</v>
      </c>
      <c r="N31" s="56">
        <f>N29*'Carbon calculation'!$J$8</f>
        <v>1.3593493150684934</v>
      </c>
    </row>
    <row r="33" spans="2:19" ht="20.100000000000001" customHeight="1" x14ac:dyDescent="0.25">
      <c r="C33" s="47" t="s">
        <v>60</v>
      </c>
      <c r="D33" s="47" t="s">
        <v>59</v>
      </c>
      <c r="E33" s="47" t="s">
        <v>61</v>
      </c>
      <c r="F33" s="52" t="s">
        <v>60</v>
      </c>
      <c r="G33" s="52" t="s">
        <v>59</v>
      </c>
      <c r="H33" s="52" t="s">
        <v>61</v>
      </c>
      <c r="I33" s="47" t="s">
        <v>60</v>
      </c>
      <c r="J33" s="47" t="s">
        <v>59</v>
      </c>
      <c r="K33" s="47" t="s">
        <v>61</v>
      </c>
    </row>
    <row r="34" spans="2:19" ht="20.100000000000001" customHeight="1" x14ac:dyDescent="0.25">
      <c r="B34" s="49" t="s">
        <v>58</v>
      </c>
      <c r="C34" s="50">
        <f>(20/3)*1</f>
        <v>6.666666666666667</v>
      </c>
      <c r="D34" s="51">
        <f>C34*C60</f>
        <v>1440</v>
      </c>
      <c r="E34" s="48">
        <f>D34*'Carbon calculation'!$E$15</f>
        <v>7.2000000000000008E-2</v>
      </c>
      <c r="F34" s="48">
        <f>7.5*1</f>
        <v>7.5</v>
      </c>
      <c r="G34" s="51">
        <f>F34*(C60*0.6)</f>
        <v>972</v>
      </c>
      <c r="H34" s="48">
        <f>G34*'Carbon calculation'!$E$15</f>
        <v>4.8600000000000004E-2</v>
      </c>
      <c r="I34" s="48">
        <f>7.5*1</f>
        <v>7.5</v>
      </c>
      <c r="J34" s="51">
        <f>I34*(C60*0.4)</f>
        <v>648</v>
      </c>
      <c r="K34" s="48">
        <f>J34*'Carbon calculation'!$E$15</f>
        <v>3.2399999999999998E-2</v>
      </c>
    </row>
    <row r="35" spans="2:19" ht="20.100000000000001" customHeight="1" x14ac:dyDescent="0.25">
      <c r="B35" s="49" t="s">
        <v>200</v>
      </c>
      <c r="C35" s="48">
        <f>(20/3)*0</f>
        <v>0</v>
      </c>
      <c r="D35" s="48">
        <f>C35*$C$60</f>
        <v>0</v>
      </c>
      <c r="E35" s="48">
        <f>D35*'Carbon calculation'!$E$23</f>
        <v>0</v>
      </c>
      <c r="F35" s="48">
        <f>7.5*0</f>
        <v>0</v>
      </c>
      <c r="G35" s="48">
        <f>F35*$C$60</f>
        <v>0</v>
      </c>
      <c r="H35" s="48">
        <f>G35*'Carbon calculation'!$E$23</f>
        <v>0</v>
      </c>
      <c r="I35" s="48">
        <f>7.5*0</f>
        <v>0</v>
      </c>
      <c r="J35" s="48">
        <f>I35*$C$60</f>
        <v>0</v>
      </c>
      <c r="K35" s="48">
        <f>J35*'Carbon calculation'!$E$23</f>
        <v>0</v>
      </c>
      <c r="R35" s="46"/>
      <c r="S35" s="58"/>
    </row>
    <row r="36" spans="2:19" ht="20.100000000000001" customHeight="1" x14ac:dyDescent="0.25">
      <c r="B36" s="49" t="s">
        <v>112</v>
      </c>
      <c r="C36" s="48">
        <v>1</v>
      </c>
      <c r="D36" s="48">
        <f>C36*C63</f>
        <v>101.5</v>
      </c>
      <c r="E36" s="48">
        <f>D36*'Carbon calculation'!$E$9</f>
        <v>1.7519178082191784E-2</v>
      </c>
      <c r="F36" s="48">
        <v>1</v>
      </c>
      <c r="G36" s="48">
        <f>F36*C62</f>
        <v>124.4</v>
      </c>
      <c r="H36" s="48">
        <f>G36*'Carbon calculation'!$E$9</f>
        <v>2.1471780821917811E-2</v>
      </c>
      <c r="I36" s="48">
        <v>1</v>
      </c>
      <c r="J36" s="48">
        <f>I36*C64</f>
        <v>78.600000000000009</v>
      </c>
      <c r="K36" s="48">
        <f>J36*'Carbon calculation'!$E$9</f>
        <v>1.3566575342465756E-2</v>
      </c>
    </row>
    <row r="37" spans="2:19" ht="20.100000000000001" customHeight="1" x14ac:dyDescent="0.25">
      <c r="D37" s="53" t="s">
        <v>62</v>
      </c>
      <c r="E37" s="54">
        <f>E34+E35+E36</f>
        <v>8.9519178082191786E-2</v>
      </c>
      <c r="G37" s="53" t="s">
        <v>62</v>
      </c>
      <c r="H37" s="54">
        <f>H34+H35+H36</f>
        <v>7.0071780821917812E-2</v>
      </c>
      <c r="J37" s="53" t="s">
        <v>62</v>
      </c>
      <c r="K37" s="54">
        <f>K34+K35+K36</f>
        <v>4.5966575342465753E-2</v>
      </c>
    </row>
    <row r="38" spans="2:19" ht="20.100000000000001" customHeight="1" x14ac:dyDescent="0.25">
      <c r="D38" s="53" t="s">
        <v>63</v>
      </c>
      <c r="E38" s="55">
        <f>E37/$C$21</f>
        <v>0.13563635643149771</v>
      </c>
      <c r="G38" s="53" t="s">
        <v>63</v>
      </c>
      <c r="H38" s="55">
        <f>H37/$C$21</f>
        <v>0.10617033403306163</v>
      </c>
      <c r="J38" s="53" t="s">
        <v>63</v>
      </c>
      <c r="K38" s="55">
        <f>K37/$C$21</f>
        <v>6.964696203266714E-2</v>
      </c>
    </row>
    <row r="39" spans="2:19" ht="20.100000000000001" customHeight="1" x14ac:dyDescent="0.25">
      <c r="D39" s="53" t="s">
        <v>52</v>
      </c>
      <c r="E39" s="56">
        <f>E37*'Carbon calculation'!$J$8</f>
        <v>1.7903835616438357</v>
      </c>
      <c r="G39" s="53" t="s">
        <v>52</v>
      </c>
      <c r="H39" s="56">
        <f>H37*'Carbon calculation'!$J$8</f>
        <v>1.4014356164383561</v>
      </c>
      <c r="J39" s="53" t="s">
        <v>52</v>
      </c>
      <c r="K39" s="56">
        <f>K37*'Carbon calculation'!$J$8</f>
        <v>0.91933150684931508</v>
      </c>
    </row>
    <row r="41" spans="2:19" ht="20.100000000000001" customHeight="1" x14ac:dyDescent="0.25">
      <c r="B41" s="82" t="s">
        <v>77</v>
      </c>
      <c r="C41" s="83"/>
      <c r="D41" s="83"/>
      <c r="E41" s="83"/>
      <c r="F41" s="83"/>
      <c r="G41" s="83"/>
      <c r="H41" s="83"/>
      <c r="I41" s="83"/>
    </row>
    <row r="43" spans="2:19" ht="20.100000000000001" customHeight="1" x14ac:dyDescent="0.25">
      <c r="B43" s="62" t="s">
        <v>76</v>
      </c>
      <c r="C43" s="1">
        <f t="shared" ref="C43:H43" si="1">(C53)*12</f>
        <v>1.2000000000000002</v>
      </c>
      <c r="D43" s="1">
        <f>(D53)*12</f>
        <v>2.4000000000000004</v>
      </c>
      <c r="E43" s="1">
        <f t="shared" si="1"/>
        <v>2.4000000000000004</v>
      </c>
      <c r="F43" s="1">
        <f t="shared" si="1"/>
        <v>2.4000000000000004</v>
      </c>
      <c r="G43" s="1">
        <f t="shared" si="1"/>
        <v>2.4000000000000004</v>
      </c>
      <c r="H43" s="1">
        <f t="shared" si="1"/>
        <v>2.4000000000000004</v>
      </c>
      <c r="I43" s="1">
        <f>(I53)*12</f>
        <v>2.4000000000000004</v>
      </c>
    </row>
    <row r="44" spans="2:19" ht="30" x14ac:dyDescent="0.25">
      <c r="B44" s="62" t="s">
        <v>86</v>
      </c>
      <c r="C44" s="1">
        <f t="shared" ref="C44:H44" si="2">C43/C54</f>
        <v>0.60000000000000009</v>
      </c>
      <c r="D44" s="1">
        <f t="shared" si="2"/>
        <v>1.2000000000000002</v>
      </c>
      <c r="E44" s="1">
        <f t="shared" si="2"/>
        <v>1.2000000000000002</v>
      </c>
      <c r="F44" s="1">
        <f t="shared" si="2"/>
        <v>2.4000000000000004</v>
      </c>
      <c r="G44" s="1">
        <f t="shared" si="2"/>
        <v>0.60000000000000009</v>
      </c>
      <c r="H44" s="1">
        <f t="shared" si="2"/>
        <v>1.2000000000000002</v>
      </c>
      <c r="I44" s="1">
        <f>I43/I54</f>
        <v>2.4000000000000004</v>
      </c>
    </row>
    <row r="45" spans="2:19" ht="30" x14ac:dyDescent="0.25">
      <c r="B45" s="62" t="s">
        <v>87</v>
      </c>
      <c r="C45" s="1">
        <f t="shared" ref="C45:I45" si="3">C44*C52</f>
        <v>0.35409836065573774</v>
      </c>
      <c r="D45" s="1">
        <f t="shared" si="3"/>
        <v>0.70819672131147549</v>
      </c>
      <c r="E45" s="1">
        <f>E44*E52</f>
        <v>0.70819672131147549</v>
      </c>
      <c r="F45" s="1">
        <f t="shared" si="3"/>
        <v>1.1160655737704921</v>
      </c>
      <c r="G45" s="1">
        <f t="shared" si="3"/>
        <v>0.16639344262295083</v>
      </c>
      <c r="H45" s="1">
        <f t="shared" si="3"/>
        <v>0.40786885245901644</v>
      </c>
      <c r="I45" s="1">
        <f t="shared" si="3"/>
        <v>0.51540983606557389</v>
      </c>
    </row>
    <row r="46" spans="2:19" ht="20.100000000000001" customHeight="1" x14ac:dyDescent="0.25">
      <c r="B46" s="1" t="s">
        <v>52</v>
      </c>
      <c r="C46" s="57">
        <f>C45*'Carbon calculation'!$J$8</f>
        <v>7.0819672131147549</v>
      </c>
      <c r="D46" s="57">
        <f>D45*'Carbon calculation'!$J$8</f>
        <v>14.16393442622951</v>
      </c>
      <c r="E46" s="57">
        <f>E45*'Carbon calculation'!$J$8</f>
        <v>14.16393442622951</v>
      </c>
      <c r="F46" s="57">
        <f>F45*'Carbon calculation'!$J$8</f>
        <v>22.321311475409843</v>
      </c>
      <c r="G46" s="57">
        <f>G45*'Carbon calculation'!$J$8</f>
        <v>3.3278688524590168</v>
      </c>
      <c r="H46" s="57">
        <f>H45*'Carbon calculation'!$J$8</f>
        <v>8.1573770491803295</v>
      </c>
      <c r="I46" s="57">
        <f>I45*'Carbon calculation'!$J$8</f>
        <v>10.308196721311479</v>
      </c>
    </row>
    <row r="47" spans="2:19" ht="20.100000000000001" customHeight="1" x14ac:dyDescent="0.25">
      <c r="B47" s="1" t="s">
        <v>118</v>
      </c>
      <c r="C47" s="1">
        <f>5*C52</f>
        <v>2.9508196721311473</v>
      </c>
      <c r="H47" s="81" t="s">
        <v>88</v>
      </c>
      <c r="I47" s="10">
        <f>SUM(C45:I45)</f>
        <v>3.9762295081967221</v>
      </c>
    </row>
    <row r="48" spans="2:19" ht="20.100000000000001" customHeight="1" x14ac:dyDescent="0.25">
      <c r="B48" s="1" t="s">
        <v>119</v>
      </c>
      <c r="C48" s="57">
        <f>C47*'Carbon calculation'!J8</f>
        <v>59.016393442622942</v>
      </c>
      <c r="H48" s="81" t="s">
        <v>89</v>
      </c>
      <c r="I48" s="84">
        <f>SUM(C46:I46)</f>
        <v>79.524590163934434</v>
      </c>
    </row>
    <row r="49" spans="2:10" ht="20.100000000000001" customHeight="1" x14ac:dyDescent="0.25">
      <c r="B49" s="1" t="s">
        <v>120</v>
      </c>
      <c r="C49" s="46">
        <f>C48/C46</f>
        <v>8.3333333333333304</v>
      </c>
    </row>
    <row r="50" spans="2:10" ht="20.100000000000001" customHeight="1" x14ac:dyDescent="0.25">
      <c r="C50" s="46"/>
    </row>
    <row r="51" spans="2:10" ht="20.100000000000001" customHeight="1" x14ac:dyDescent="0.25">
      <c r="B51" s="1" t="s">
        <v>110</v>
      </c>
      <c r="C51" s="44">
        <v>1</v>
      </c>
      <c r="D51" s="44">
        <v>2</v>
      </c>
      <c r="E51" s="44">
        <v>3</v>
      </c>
      <c r="F51" s="44">
        <v>4</v>
      </c>
      <c r="G51" s="44">
        <v>5</v>
      </c>
      <c r="H51" s="44">
        <v>6</v>
      </c>
      <c r="I51" s="44">
        <v>7</v>
      </c>
    </row>
    <row r="52" spans="2:10" ht="20.100000000000001" customHeight="1" x14ac:dyDescent="0.25">
      <c r="B52" s="1" t="s">
        <v>78</v>
      </c>
      <c r="C52" s="63">
        <f>C60/366</f>
        <v>0.5901639344262295</v>
      </c>
      <c r="D52" s="46">
        <f>C60/366</f>
        <v>0.5901639344262295</v>
      </c>
      <c r="E52" s="46">
        <f>C60/366</f>
        <v>0.5901639344262295</v>
      </c>
      <c r="F52" s="46">
        <f>C61/366</f>
        <v>0.46502732240437161</v>
      </c>
      <c r="G52" s="46">
        <f>C63/366</f>
        <v>0.27732240437158467</v>
      </c>
      <c r="H52" s="46">
        <f>C62/366</f>
        <v>0.33989071038251367</v>
      </c>
      <c r="I52" s="46">
        <f>C64/366</f>
        <v>0.21475409836065576</v>
      </c>
    </row>
    <row r="53" spans="2:10" ht="20.100000000000001" customHeight="1" x14ac:dyDescent="0.25">
      <c r="B53" s="1" t="s">
        <v>80</v>
      </c>
      <c r="C53" s="1">
        <v>0.1</v>
      </c>
      <c r="D53" s="72">
        <v>0.2</v>
      </c>
      <c r="E53" s="72">
        <v>0.2</v>
      </c>
      <c r="F53" s="72">
        <v>0.2</v>
      </c>
      <c r="G53" s="72">
        <v>0.2</v>
      </c>
      <c r="H53" s="72">
        <v>0.2</v>
      </c>
      <c r="I53" s="72">
        <v>0.2</v>
      </c>
      <c r="J53" s="1" t="s">
        <v>201</v>
      </c>
    </row>
    <row r="54" spans="2:10" ht="20.100000000000001" customHeight="1" x14ac:dyDescent="0.25">
      <c r="B54" s="1" t="s">
        <v>79</v>
      </c>
      <c r="C54" s="1">
        <v>2</v>
      </c>
      <c r="D54" s="1">
        <v>2</v>
      </c>
      <c r="E54" s="1">
        <v>2</v>
      </c>
      <c r="F54" s="1">
        <v>1</v>
      </c>
      <c r="G54" s="1">
        <v>4</v>
      </c>
      <c r="H54" s="1">
        <v>2</v>
      </c>
      <c r="I54" s="1">
        <v>1</v>
      </c>
      <c r="J54" s="1" t="s">
        <v>127</v>
      </c>
    </row>
    <row r="58" spans="2:10" ht="20.100000000000001" customHeight="1" x14ac:dyDescent="0.25">
      <c r="B58" s="1" t="s">
        <v>115</v>
      </c>
      <c r="C58" s="1">
        <v>249</v>
      </c>
    </row>
    <row r="59" spans="2:10" ht="20.100000000000001" customHeight="1" x14ac:dyDescent="0.25">
      <c r="D59" s="64" t="s">
        <v>114</v>
      </c>
      <c r="E59" s="64" t="s">
        <v>85</v>
      </c>
    </row>
    <row r="60" spans="2:10" ht="20.100000000000001" customHeight="1" x14ac:dyDescent="0.25">
      <c r="B60" s="1" t="s">
        <v>64</v>
      </c>
      <c r="C60" s="1">
        <f>$C$58-D60-E60</f>
        <v>216</v>
      </c>
      <c r="D60" s="1">
        <v>20</v>
      </c>
      <c r="E60" s="1">
        <v>13</v>
      </c>
    </row>
    <row r="61" spans="2:10" ht="20.100000000000001" customHeight="1" x14ac:dyDescent="0.25">
      <c r="B61" s="1" t="s">
        <v>81</v>
      </c>
      <c r="C61" s="1">
        <f>(C58*0.8)-D61-E61</f>
        <v>170.20000000000002</v>
      </c>
      <c r="D61" s="1">
        <f>20*0.8</f>
        <v>16</v>
      </c>
      <c r="E61" s="1">
        <v>13</v>
      </c>
    </row>
    <row r="62" spans="2:10" ht="20.100000000000001" customHeight="1" x14ac:dyDescent="0.25">
      <c r="B62" s="1" t="s">
        <v>82</v>
      </c>
      <c r="C62" s="1">
        <f>(C58*0.6)-D62-E62</f>
        <v>124.4</v>
      </c>
      <c r="D62" s="1">
        <f>20*0.6</f>
        <v>12</v>
      </c>
      <c r="E62" s="1">
        <v>13</v>
      </c>
    </row>
    <row r="63" spans="2:10" ht="20.100000000000001" customHeight="1" x14ac:dyDescent="0.25">
      <c r="B63" s="1" t="s">
        <v>84</v>
      </c>
      <c r="C63" s="1">
        <f>(C58*0.5)-D63-E63</f>
        <v>101.5</v>
      </c>
      <c r="D63" s="1">
        <f>20*0.5</f>
        <v>10</v>
      </c>
      <c r="E63" s="1">
        <v>13</v>
      </c>
    </row>
    <row r="64" spans="2:10" ht="20.100000000000001" customHeight="1" x14ac:dyDescent="0.25">
      <c r="B64" s="1" t="s">
        <v>83</v>
      </c>
      <c r="C64" s="1">
        <f>(C58*0.4)-D64-E64</f>
        <v>78.600000000000009</v>
      </c>
      <c r="D64" s="1">
        <f>20*0.4</f>
        <v>8</v>
      </c>
      <c r="E64" s="1">
        <v>13</v>
      </c>
    </row>
    <row r="66" spans="2:5" ht="20.100000000000001" customHeight="1" x14ac:dyDescent="0.25">
      <c r="B66" s="11" t="s">
        <v>175</v>
      </c>
      <c r="C66" s="1">
        <f>(45*'Carbon calculation'!E52)*2</f>
        <v>1.0062111801242236E-2</v>
      </c>
      <c r="D66" s="57">
        <f>C66*'Carbon calculation'!$J$8</f>
        <v>0.20124223602484473</v>
      </c>
      <c r="E66" s="69"/>
    </row>
    <row r="67" spans="2:5" ht="20.100000000000001" customHeight="1" x14ac:dyDescent="0.25">
      <c r="B67" s="11" t="s">
        <v>176</v>
      </c>
      <c r="C67" s="1">
        <f>(45*'Carbon calculation'!E53)*2</f>
        <v>1.6211180124223602E-2</v>
      </c>
      <c r="D67" s="57">
        <f>C67*'Carbon calculation'!$J$8</f>
        <v>0.32422360248447202</v>
      </c>
      <c r="E67" s="69"/>
    </row>
    <row r="68" spans="2:5" ht="20.100000000000001" customHeight="1" x14ac:dyDescent="0.25">
      <c r="B68" s="11" t="s">
        <v>177</v>
      </c>
      <c r="C68" s="1">
        <f>(45*'Carbon calculation'!E54)*2</f>
        <v>2.9627329192546584E-2</v>
      </c>
      <c r="D68" s="57">
        <f>C68*'Carbon calculation'!$J$8</f>
        <v>0.59254658385093162</v>
      </c>
      <c r="E68" s="69">
        <f t="shared" ref="E68" si="4">D68*$J$6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1875-2627-A24E-9E56-CD33C731E2DF}">
  <dimension ref="B2:T63"/>
  <sheetViews>
    <sheetView showGridLines="0" zoomScale="101" zoomScaleNormal="176" workbookViewId="0">
      <selection activeCell="F64" sqref="F64"/>
    </sheetView>
  </sheetViews>
  <sheetFormatPr defaultColWidth="10.875" defaultRowHeight="20.100000000000001" customHeight="1" x14ac:dyDescent="0.25"/>
  <cols>
    <col min="1" max="1" width="4" style="1" customWidth="1"/>
    <col min="2" max="2" width="28.875" style="1" customWidth="1"/>
    <col min="3" max="4" width="10.875" style="1"/>
    <col min="5" max="5" width="10.875" style="1" customWidth="1"/>
    <col min="6" max="6" width="22.625" style="1" bestFit="1" customWidth="1"/>
    <col min="7" max="8" width="10.875" style="1"/>
    <col min="9" max="9" width="34.375" style="1" bestFit="1" customWidth="1"/>
    <col min="10" max="10" width="22.625" style="1" bestFit="1" customWidth="1"/>
    <col min="11" max="11" width="18.375" style="1" bestFit="1" customWidth="1"/>
    <col min="12" max="12" width="12.875" style="1" bestFit="1" customWidth="1"/>
    <col min="13" max="16384" width="10.875" style="1"/>
  </cols>
  <sheetData>
    <row r="2" spans="2:20" ht="20.100000000000001" customHeight="1" thickBot="1" x14ac:dyDescent="0.3">
      <c r="B2" s="81" t="s">
        <v>212</v>
      </c>
      <c r="C2" s="8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20" ht="20.100000000000001" customHeight="1" thickBot="1" x14ac:dyDescent="0.3">
      <c r="B3" s="98" t="s">
        <v>143</v>
      </c>
      <c r="C3" s="3"/>
    </row>
    <row r="4" spans="2:20" ht="20.100000000000001" customHeight="1" x14ac:dyDescent="0.25">
      <c r="C4" s="137" t="s">
        <v>72</v>
      </c>
      <c r="D4" s="137"/>
      <c r="E4" s="57"/>
    </row>
    <row r="5" spans="2:20" ht="20.100000000000001" customHeight="1" x14ac:dyDescent="0.25">
      <c r="C5" s="64"/>
      <c r="D5" s="89" t="s">
        <v>48</v>
      </c>
      <c r="E5" s="57"/>
    </row>
    <row r="6" spans="2:20" ht="20.100000000000001" customHeight="1" thickBot="1" x14ac:dyDescent="0.3">
      <c r="B6" s="66" t="s">
        <v>142</v>
      </c>
      <c r="C6" s="85"/>
      <c r="D6" s="85"/>
      <c r="E6" s="88" t="s">
        <v>183</v>
      </c>
      <c r="I6" s="66" t="s">
        <v>184</v>
      </c>
      <c r="J6" s="85"/>
      <c r="K6" s="85"/>
    </row>
    <row r="7" spans="2:20" ht="20.100000000000001" customHeight="1" x14ac:dyDescent="0.25">
      <c r="B7" s="90" t="s">
        <v>136</v>
      </c>
      <c r="C7" s="91"/>
      <c r="D7" s="86">
        <f>C7*'Carbon calculation'!E17</f>
        <v>0</v>
      </c>
      <c r="E7" s="57"/>
      <c r="I7" s="90" t="s">
        <v>185</v>
      </c>
      <c r="J7" s="113"/>
      <c r="K7" s="115">
        <f>J7*'Carbon calculation'!J8</f>
        <v>0</v>
      </c>
    </row>
    <row r="8" spans="2:20" ht="20.100000000000001" customHeight="1" x14ac:dyDescent="0.25">
      <c r="B8" s="90" t="s">
        <v>137</v>
      </c>
      <c r="C8" s="92"/>
      <c r="D8" s="86">
        <f>C8*'Carbon calculation'!E18</f>
        <v>0</v>
      </c>
      <c r="E8" s="57"/>
      <c r="I8" s="90" t="s">
        <v>186</v>
      </c>
      <c r="J8" s="92"/>
      <c r="K8" s="115">
        <f>J8*'Carbon calculation'!E28</f>
        <v>0</v>
      </c>
    </row>
    <row r="9" spans="2:20" ht="20.100000000000001" customHeight="1" x14ac:dyDescent="0.25">
      <c r="B9" s="90" t="s">
        <v>138</v>
      </c>
      <c r="C9" s="92"/>
      <c r="D9" s="86">
        <f>C9*'Carbon calculation'!E19</f>
        <v>0</v>
      </c>
      <c r="E9" s="57"/>
      <c r="I9" s="90" t="s">
        <v>187</v>
      </c>
      <c r="J9" s="92"/>
      <c r="K9" s="115">
        <f>J9*'Carbon calculation'!E29</f>
        <v>0</v>
      </c>
    </row>
    <row r="10" spans="2:20" ht="20.100000000000001" customHeight="1" thickBot="1" x14ac:dyDescent="0.3">
      <c r="B10" s="90" t="s">
        <v>139</v>
      </c>
      <c r="C10" s="93"/>
      <c r="I10" s="90" t="s">
        <v>188</v>
      </c>
      <c r="J10" s="92"/>
      <c r="K10" s="115">
        <f>J10*'Carbon calculation'!E30</f>
        <v>0</v>
      </c>
    </row>
    <row r="11" spans="2:20" ht="20.100000000000001" customHeight="1" x14ac:dyDescent="0.25">
      <c r="B11" s="6" t="s">
        <v>140</v>
      </c>
      <c r="C11" s="6"/>
      <c r="D11" s="6">
        <f>(D7*C10)+(D8*C10)+(D9*C10)</f>
        <v>0</v>
      </c>
      <c r="I11" s="90" t="s">
        <v>202</v>
      </c>
      <c r="J11" s="92"/>
      <c r="K11" s="115">
        <f>J11*'Carbon calculation'!E52</f>
        <v>0</v>
      </c>
    </row>
    <row r="12" spans="2:20" ht="20.100000000000001" customHeight="1" x14ac:dyDescent="0.25">
      <c r="B12" s="6" t="s">
        <v>141</v>
      </c>
      <c r="C12" s="6"/>
      <c r="D12" s="87">
        <f>D11*'Carbon calculation'!J8</f>
        <v>0</v>
      </c>
      <c r="I12" s="90" t="s">
        <v>203</v>
      </c>
      <c r="J12" s="92"/>
      <c r="K12" s="115">
        <f>J12*'Carbon calculation'!E53</f>
        <v>0</v>
      </c>
    </row>
    <row r="13" spans="2:20" ht="20.100000000000001" customHeight="1" x14ac:dyDescent="0.25">
      <c r="I13" s="90" t="s">
        <v>204</v>
      </c>
      <c r="J13" s="92"/>
      <c r="K13" s="115">
        <f>J13*'Carbon calculation'!E54</f>
        <v>0</v>
      </c>
    </row>
    <row r="14" spans="2:20" ht="20.100000000000001" customHeight="1" x14ac:dyDescent="0.25">
      <c r="B14" s="66" t="s">
        <v>147</v>
      </c>
      <c r="C14" s="66"/>
      <c r="D14" s="66"/>
      <c r="I14" s="90" t="s">
        <v>205</v>
      </c>
      <c r="J14" s="92"/>
      <c r="K14" s="115">
        <f>J14*'Carbon calculation'!E55</f>
        <v>0</v>
      </c>
    </row>
    <row r="15" spans="2:20" ht="20.100000000000001" customHeight="1" thickBot="1" x14ac:dyDescent="0.3">
      <c r="C15" s="44" t="s">
        <v>144</v>
      </c>
      <c r="D15" s="44" t="s">
        <v>53</v>
      </c>
      <c r="E15" s="89" t="s">
        <v>48</v>
      </c>
      <c r="I15" s="116" t="s">
        <v>207</v>
      </c>
      <c r="J15" s="93"/>
      <c r="K15" s="115">
        <f>J15*'Carbon calculation'!L22</f>
        <v>0</v>
      </c>
    </row>
    <row r="16" spans="2:20" ht="20.100000000000001" customHeight="1" x14ac:dyDescent="0.25">
      <c r="B16" s="90" t="s">
        <v>145</v>
      </c>
      <c r="C16" s="94"/>
      <c r="D16" s="95"/>
      <c r="E16" s="86">
        <f>(C16*'Carbon calculation'!E5)+(D16*'Carbon calculation'!E5)</f>
        <v>0</v>
      </c>
      <c r="I16" s="6" t="s">
        <v>208</v>
      </c>
      <c r="J16" s="112"/>
      <c r="K16" s="111">
        <f>SUM(K7:K15)</f>
        <v>0</v>
      </c>
    </row>
    <row r="17" spans="2:14" ht="20.100000000000001" customHeight="1" thickBot="1" x14ac:dyDescent="0.3">
      <c r="B17" s="90" t="s">
        <v>146</v>
      </c>
      <c r="C17" s="96"/>
      <c r="D17" s="97"/>
      <c r="E17" s="86">
        <f>(C17*'Carbon calculation'!E7)+(D17*'Carbon calculation'!E5)</f>
        <v>0</v>
      </c>
      <c r="I17" s="6" t="s">
        <v>141</v>
      </c>
      <c r="J17" s="6"/>
      <c r="K17" s="111">
        <f>K16*'Carbon calculation'!J8</f>
        <v>0</v>
      </c>
    </row>
    <row r="18" spans="2:14" ht="20.100000000000001" customHeight="1" x14ac:dyDescent="0.25">
      <c r="D18" s="6" t="s">
        <v>48</v>
      </c>
      <c r="E18" s="72">
        <f>E16+E17</f>
        <v>0</v>
      </c>
    </row>
    <row r="19" spans="2:14" ht="20.100000000000001" customHeight="1" x14ac:dyDescent="0.25">
      <c r="D19" s="6" t="s">
        <v>52</v>
      </c>
      <c r="E19" s="99">
        <f>E18*'Carbon calculation'!J8</f>
        <v>0</v>
      </c>
    </row>
    <row r="20" spans="2:14" ht="20.100000000000001" customHeight="1" x14ac:dyDescent="0.25">
      <c r="D20" s="6"/>
      <c r="E20" s="99"/>
    </row>
    <row r="21" spans="2:14" s="10" customFormat="1" ht="20.100000000000001" customHeight="1" x14ac:dyDescent="0.25">
      <c r="B21" s="81" t="s">
        <v>117</v>
      </c>
    </row>
    <row r="23" spans="2:14" ht="20.100000000000001" customHeight="1" x14ac:dyDescent="0.25">
      <c r="B23" s="3" t="s">
        <v>214</v>
      </c>
      <c r="F23" s="6" t="s">
        <v>217</v>
      </c>
      <c r="G23" s="68">
        <f>D32+H32+L32+D42+H42+L42+D52+H52+L52</f>
        <v>0</v>
      </c>
      <c r="H23" s="1" t="s">
        <v>218</v>
      </c>
    </row>
    <row r="24" spans="2:14" ht="20.100000000000001" customHeight="1" x14ac:dyDescent="0.25">
      <c r="B24" s="88" t="s">
        <v>158</v>
      </c>
      <c r="F24" s="6" t="s">
        <v>216</v>
      </c>
      <c r="G24" s="68">
        <f>D35+H35+L35+D45+H45+L45+D55+H55+L55</f>
        <v>0</v>
      </c>
      <c r="H24" s="1" t="s">
        <v>219</v>
      </c>
    </row>
    <row r="25" spans="2:14" ht="20.100000000000001" customHeight="1" x14ac:dyDescent="0.25">
      <c r="B25" s="88" t="s">
        <v>213</v>
      </c>
    </row>
    <row r="26" spans="2:14" ht="20.100000000000001" customHeight="1" thickBot="1" x14ac:dyDescent="0.3">
      <c r="B26" s="88" t="s">
        <v>215</v>
      </c>
    </row>
    <row r="27" spans="2:14" ht="20.100000000000001" customHeight="1" thickBot="1" x14ac:dyDescent="0.3">
      <c r="B27" s="125" t="s">
        <v>156</v>
      </c>
      <c r="C27" s="126"/>
      <c r="D27" s="127" t="s">
        <v>48</v>
      </c>
      <c r="F27" s="125" t="s">
        <v>156</v>
      </c>
      <c r="G27" s="126"/>
      <c r="H27" s="127" t="s">
        <v>48</v>
      </c>
      <c r="J27" s="125" t="s">
        <v>156</v>
      </c>
      <c r="K27" s="126"/>
      <c r="L27" s="127" t="s">
        <v>48</v>
      </c>
      <c r="N27" s="46"/>
    </row>
    <row r="28" spans="2:14" ht="20.100000000000001" customHeight="1" x14ac:dyDescent="0.25">
      <c r="B28" s="118" t="s">
        <v>58</v>
      </c>
      <c r="C28" s="94"/>
      <c r="D28" s="122">
        <f>C28*'Carbon calculation'!$E$13</f>
        <v>0</v>
      </c>
      <c r="F28" s="118" t="s">
        <v>58</v>
      </c>
      <c r="G28" s="94"/>
      <c r="H28" s="122">
        <f>G28*'Carbon calculation'!$E$13</f>
        <v>0</v>
      </c>
      <c r="J28" s="118" t="s">
        <v>58</v>
      </c>
      <c r="K28" s="94"/>
      <c r="L28" s="122">
        <f>K28*'Carbon calculation'!$E$13</f>
        <v>0</v>
      </c>
    </row>
    <row r="29" spans="2:14" ht="20.100000000000001" customHeight="1" x14ac:dyDescent="0.25">
      <c r="B29" s="118" t="s">
        <v>200</v>
      </c>
      <c r="C29" s="120"/>
      <c r="D29" s="122">
        <f>C29*'Carbon calculation'!$E$23</f>
        <v>0</v>
      </c>
      <c r="F29" s="118" t="s">
        <v>200</v>
      </c>
      <c r="G29" s="120"/>
      <c r="H29" s="122">
        <f>G29*'Carbon calculation'!$E$23</f>
        <v>0</v>
      </c>
      <c r="J29" s="118" t="s">
        <v>200</v>
      </c>
      <c r="K29" s="120"/>
      <c r="L29" s="122">
        <f>K29*'Carbon calculation'!$E$23</f>
        <v>0</v>
      </c>
    </row>
    <row r="30" spans="2:14" ht="20.100000000000001" customHeight="1" thickBot="1" x14ac:dyDescent="0.3">
      <c r="B30" s="118" t="s">
        <v>155</v>
      </c>
      <c r="C30" s="96"/>
      <c r="D30" s="122">
        <f>C30*'Carbon calculation'!$E$9</f>
        <v>0</v>
      </c>
      <c r="F30" s="118" t="s">
        <v>155</v>
      </c>
      <c r="G30" s="96"/>
      <c r="H30" s="122">
        <f>G30*'Carbon calculation'!$E$9</f>
        <v>0</v>
      </c>
      <c r="J30" s="118" t="s">
        <v>155</v>
      </c>
      <c r="K30" s="96"/>
      <c r="L30" s="122">
        <f>K30*'Carbon calculation'!$E$9</f>
        <v>0</v>
      </c>
    </row>
    <row r="31" spans="2:14" ht="20.100000000000001" customHeight="1" x14ac:dyDescent="0.25">
      <c r="B31" s="118" t="s">
        <v>162</v>
      </c>
      <c r="C31" s="133"/>
      <c r="D31" s="122">
        <f>SUM(D28:D30)</f>
        <v>0</v>
      </c>
      <c r="F31" s="118" t="s">
        <v>162</v>
      </c>
      <c r="G31" s="133"/>
      <c r="H31" s="122">
        <f>SUM(H28:H30)</f>
        <v>0</v>
      </c>
      <c r="J31" s="118" t="s">
        <v>162</v>
      </c>
      <c r="K31" s="133"/>
      <c r="L31" s="122">
        <f>SUM(L28:L30)</f>
        <v>0</v>
      </c>
    </row>
    <row r="32" spans="2:14" ht="20.100000000000001" customHeight="1" thickBot="1" x14ac:dyDescent="0.3">
      <c r="B32" s="132" t="s">
        <v>52</v>
      </c>
      <c r="C32" s="134"/>
      <c r="D32" s="135">
        <f>D31*'Carbon calculation'!$J$8</f>
        <v>0</v>
      </c>
      <c r="F32" s="132" t="s">
        <v>52</v>
      </c>
      <c r="G32" s="134"/>
      <c r="H32" s="135">
        <f>H31*'Carbon calculation'!$J$8</f>
        <v>0</v>
      </c>
      <c r="J32" s="132" t="s">
        <v>52</v>
      </c>
      <c r="K32" s="134"/>
      <c r="L32" s="135">
        <f>L31*'Carbon calculation'!$J$8</f>
        <v>0</v>
      </c>
    </row>
    <row r="33" spans="2:12" ht="20.100000000000001" customHeight="1" thickBot="1" x14ac:dyDescent="0.3">
      <c r="B33" s="119" t="s">
        <v>159</v>
      </c>
      <c r="C33" s="121"/>
      <c r="D33" s="123"/>
      <c r="F33" s="119" t="s">
        <v>159</v>
      </c>
      <c r="G33" s="121"/>
      <c r="H33" s="123"/>
      <c r="J33" s="119" t="s">
        <v>159</v>
      </c>
      <c r="K33" s="121"/>
      <c r="L33" s="123"/>
    </row>
    <row r="34" spans="2:12" ht="20.100000000000001" customHeight="1" thickBot="1" x14ac:dyDescent="0.3">
      <c r="B34" s="128" t="s">
        <v>160</v>
      </c>
      <c r="D34" s="124">
        <f>C33*D31</f>
        <v>0</v>
      </c>
      <c r="F34" s="128" t="s">
        <v>160</v>
      </c>
      <c r="H34" s="124">
        <f>G33*H31</f>
        <v>0</v>
      </c>
      <c r="J34" s="128" t="s">
        <v>160</v>
      </c>
      <c r="L34" s="124">
        <f>K33*L31</f>
        <v>0</v>
      </c>
    </row>
    <row r="35" spans="2:12" ht="20.100000000000001" customHeight="1" thickBot="1" x14ac:dyDescent="0.3">
      <c r="B35" s="129" t="s">
        <v>161</v>
      </c>
      <c r="C35" s="130"/>
      <c r="D35" s="131">
        <f>D34*'Carbon calculation'!J8</f>
        <v>0</v>
      </c>
      <c r="F35" s="129" t="s">
        <v>161</v>
      </c>
      <c r="G35" s="130"/>
      <c r="H35" s="131">
        <f>H34*'Carbon calculation'!N8</f>
        <v>0</v>
      </c>
      <c r="J35" s="129" t="s">
        <v>161</v>
      </c>
      <c r="K35" s="130"/>
      <c r="L35" s="131">
        <f>L34*'Carbon calculation'!R8</f>
        <v>0</v>
      </c>
    </row>
    <row r="36" spans="2:12" ht="20.100000000000001" customHeight="1" thickBot="1" x14ac:dyDescent="0.3">
      <c r="B36" s="3"/>
      <c r="D36" s="117"/>
      <c r="F36" s="3"/>
      <c r="H36" s="117"/>
      <c r="J36" s="3"/>
      <c r="L36" s="117"/>
    </row>
    <row r="37" spans="2:12" ht="20.100000000000001" customHeight="1" thickBot="1" x14ac:dyDescent="0.3">
      <c r="B37" s="125" t="s">
        <v>157</v>
      </c>
      <c r="C37" s="126"/>
      <c r="D37" s="127" t="s">
        <v>48</v>
      </c>
      <c r="F37" s="125" t="s">
        <v>157</v>
      </c>
      <c r="G37" s="126"/>
      <c r="H37" s="127" t="s">
        <v>48</v>
      </c>
      <c r="J37" s="125" t="s">
        <v>157</v>
      </c>
      <c r="K37" s="126"/>
      <c r="L37" s="127" t="s">
        <v>48</v>
      </c>
    </row>
    <row r="38" spans="2:12" ht="20.100000000000001" customHeight="1" x14ac:dyDescent="0.25">
      <c r="B38" s="118" t="s">
        <v>58</v>
      </c>
      <c r="C38" s="94"/>
      <c r="D38" s="122">
        <f>C38*'Carbon calculation'!$E$11</f>
        <v>0</v>
      </c>
      <c r="F38" s="118" t="s">
        <v>58</v>
      </c>
      <c r="G38" s="94"/>
      <c r="H38" s="122">
        <f>G38*'Carbon calculation'!$E$11</f>
        <v>0</v>
      </c>
      <c r="J38" s="118" t="s">
        <v>58</v>
      </c>
      <c r="K38" s="94"/>
      <c r="L38" s="122">
        <f>K38*'Carbon calculation'!$E$11</f>
        <v>0</v>
      </c>
    </row>
    <row r="39" spans="2:12" ht="20.100000000000001" customHeight="1" x14ac:dyDescent="0.25">
      <c r="B39" s="118" t="s">
        <v>200</v>
      </c>
      <c r="C39" s="120"/>
      <c r="D39" s="122">
        <f>C39*'Carbon calculation'!$E$23</f>
        <v>0</v>
      </c>
      <c r="F39" s="118" t="s">
        <v>200</v>
      </c>
      <c r="G39" s="120"/>
      <c r="H39" s="122">
        <f>G39*'Carbon calculation'!$E$23</f>
        <v>0</v>
      </c>
      <c r="J39" s="118" t="s">
        <v>200</v>
      </c>
      <c r="K39" s="120"/>
      <c r="L39" s="122">
        <f>K39*'Carbon calculation'!$E$23</f>
        <v>0</v>
      </c>
    </row>
    <row r="40" spans="2:12" ht="20.100000000000001" customHeight="1" thickBot="1" x14ac:dyDescent="0.3">
      <c r="B40" s="118" t="s">
        <v>155</v>
      </c>
      <c r="C40" s="96"/>
      <c r="D40" s="122">
        <f>C40*'Carbon calculation'!$E$9</f>
        <v>0</v>
      </c>
      <c r="F40" s="118" t="s">
        <v>155</v>
      </c>
      <c r="G40" s="96"/>
      <c r="H40" s="122">
        <f>G40*'Carbon calculation'!$E$9</f>
        <v>0</v>
      </c>
      <c r="J40" s="118" t="s">
        <v>155</v>
      </c>
      <c r="K40" s="96"/>
      <c r="L40" s="122">
        <f>K40*'Carbon calculation'!$E$9</f>
        <v>0</v>
      </c>
    </row>
    <row r="41" spans="2:12" ht="20.100000000000001" customHeight="1" x14ac:dyDescent="0.25">
      <c r="B41" s="118" t="s">
        <v>162</v>
      </c>
      <c r="C41" s="133"/>
      <c r="D41" s="122">
        <f>SUM(D38:D40)</f>
        <v>0</v>
      </c>
      <c r="F41" s="118" t="s">
        <v>162</v>
      </c>
      <c r="G41" s="133"/>
      <c r="H41" s="122">
        <f>SUM(H38:H40)</f>
        <v>0</v>
      </c>
      <c r="J41" s="118" t="s">
        <v>162</v>
      </c>
      <c r="K41" s="133"/>
      <c r="L41" s="122">
        <f>SUM(L38:L40)</f>
        <v>0</v>
      </c>
    </row>
    <row r="42" spans="2:12" ht="20.100000000000001" customHeight="1" thickBot="1" x14ac:dyDescent="0.3">
      <c r="B42" s="132" t="s">
        <v>52</v>
      </c>
      <c r="C42" s="134"/>
      <c r="D42" s="135">
        <f>D41*'Carbon calculation'!$J$8</f>
        <v>0</v>
      </c>
      <c r="F42" s="132" t="s">
        <v>52</v>
      </c>
      <c r="G42" s="134"/>
      <c r="H42" s="135">
        <f>H41*'Carbon calculation'!$J$8</f>
        <v>0</v>
      </c>
      <c r="J42" s="132" t="s">
        <v>52</v>
      </c>
      <c r="K42" s="134"/>
      <c r="L42" s="135">
        <f>L41*'Carbon calculation'!$J$8</f>
        <v>0</v>
      </c>
    </row>
    <row r="43" spans="2:12" ht="20.100000000000001" customHeight="1" thickBot="1" x14ac:dyDescent="0.3">
      <c r="B43" s="119" t="s">
        <v>159</v>
      </c>
      <c r="C43" s="121"/>
      <c r="D43" s="123"/>
      <c r="E43" s="88"/>
      <c r="F43" s="119" t="s">
        <v>159</v>
      </c>
      <c r="G43" s="121"/>
      <c r="H43" s="123"/>
      <c r="J43" s="119" t="s">
        <v>159</v>
      </c>
      <c r="K43" s="121"/>
      <c r="L43" s="123"/>
    </row>
    <row r="44" spans="2:12" ht="20.100000000000001" customHeight="1" thickBot="1" x14ac:dyDescent="0.3">
      <c r="B44" s="128" t="s">
        <v>160</v>
      </c>
      <c r="D44" s="124">
        <f>C43*D41</f>
        <v>0</v>
      </c>
      <c r="F44" s="128" t="s">
        <v>160</v>
      </c>
      <c r="H44" s="124">
        <f>G43*H41</f>
        <v>0</v>
      </c>
      <c r="J44" s="128" t="s">
        <v>160</v>
      </c>
      <c r="L44" s="124">
        <f>K43*L41</f>
        <v>0</v>
      </c>
    </row>
    <row r="45" spans="2:12" ht="20.100000000000001" customHeight="1" thickBot="1" x14ac:dyDescent="0.3">
      <c r="B45" s="129" t="s">
        <v>161</v>
      </c>
      <c r="C45" s="130"/>
      <c r="D45" s="131">
        <f>D44*'Carbon calculation'!$J$8</f>
        <v>0</v>
      </c>
      <c r="F45" s="129" t="s">
        <v>161</v>
      </c>
      <c r="G45" s="130"/>
      <c r="H45" s="131">
        <f>H44*'Carbon calculation'!$J$8</f>
        <v>0</v>
      </c>
      <c r="J45" s="129" t="s">
        <v>161</v>
      </c>
      <c r="K45" s="130"/>
      <c r="L45" s="131">
        <f>L44*'Carbon calculation'!$J$8</f>
        <v>0</v>
      </c>
    </row>
    <row r="46" spans="2:12" ht="20.100000000000001" customHeight="1" thickBot="1" x14ac:dyDescent="0.3"/>
    <row r="47" spans="2:12" ht="20.100000000000001" customHeight="1" thickBot="1" x14ac:dyDescent="0.3">
      <c r="B47" s="125" t="s">
        <v>7</v>
      </c>
      <c r="C47" s="126"/>
      <c r="D47" s="127" t="s">
        <v>48</v>
      </c>
      <c r="F47" s="125" t="s">
        <v>7</v>
      </c>
      <c r="G47" s="126"/>
      <c r="H47" s="127" t="s">
        <v>48</v>
      </c>
      <c r="J47" s="125" t="s">
        <v>7</v>
      </c>
      <c r="K47" s="126"/>
      <c r="L47" s="127" t="s">
        <v>48</v>
      </c>
    </row>
    <row r="48" spans="2:12" ht="20.100000000000001" customHeight="1" x14ac:dyDescent="0.25">
      <c r="B48" s="118" t="s">
        <v>58</v>
      </c>
      <c r="C48" s="94"/>
      <c r="D48" s="122">
        <f>C48*'Carbon calculation'!$E$15</f>
        <v>0</v>
      </c>
      <c r="F48" s="118" t="s">
        <v>58</v>
      </c>
      <c r="G48" s="94"/>
      <c r="H48" s="122">
        <f>G48*'Carbon calculation'!$E$15</f>
        <v>0</v>
      </c>
      <c r="J48" s="118" t="s">
        <v>58</v>
      </c>
      <c r="K48" s="94"/>
      <c r="L48" s="122">
        <f>K48*'Carbon calculation'!$E$15</f>
        <v>0</v>
      </c>
    </row>
    <row r="49" spans="2:12" ht="20.100000000000001" customHeight="1" x14ac:dyDescent="0.25">
      <c r="B49" s="118" t="s">
        <v>200</v>
      </c>
      <c r="C49" s="120"/>
      <c r="D49" s="122">
        <f>C49*'Carbon calculation'!$E$23</f>
        <v>0</v>
      </c>
      <c r="F49" s="118" t="s">
        <v>200</v>
      </c>
      <c r="G49" s="120"/>
      <c r="H49" s="122">
        <f>G49*'Carbon calculation'!$E$23</f>
        <v>0</v>
      </c>
      <c r="J49" s="118" t="s">
        <v>200</v>
      </c>
      <c r="K49" s="120"/>
      <c r="L49" s="122">
        <f>K49*'Carbon calculation'!$E$23</f>
        <v>0</v>
      </c>
    </row>
    <row r="50" spans="2:12" ht="20.100000000000001" customHeight="1" thickBot="1" x14ac:dyDescent="0.3">
      <c r="B50" s="118" t="s">
        <v>155</v>
      </c>
      <c r="C50" s="96"/>
      <c r="D50" s="122">
        <f>C50*'Carbon calculation'!$E$9</f>
        <v>0</v>
      </c>
      <c r="F50" s="118" t="s">
        <v>155</v>
      </c>
      <c r="G50" s="96"/>
      <c r="H50" s="122">
        <f>G50*'Carbon calculation'!$E$9</f>
        <v>0</v>
      </c>
      <c r="J50" s="118" t="s">
        <v>155</v>
      </c>
      <c r="K50" s="96"/>
      <c r="L50" s="122">
        <f>K50*'Carbon calculation'!$E$9</f>
        <v>0</v>
      </c>
    </row>
    <row r="51" spans="2:12" ht="20.100000000000001" customHeight="1" x14ac:dyDescent="0.25">
      <c r="B51" s="118" t="s">
        <v>162</v>
      </c>
      <c r="C51" s="133"/>
      <c r="D51" s="122">
        <f>SUM(D48:D50)</f>
        <v>0</v>
      </c>
      <c r="F51" s="118" t="s">
        <v>162</v>
      </c>
      <c r="G51" s="133"/>
      <c r="H51" s="122">
        <f>SUM(H48:H50)</f>
        <v>0</v>
      </c>
      <c r="J51" s="118" t="s">
        <v>162</v>
      </c>
      <c r="K51" s="133"/>
      <c r="L51" s="122">
        <f>SUM(L48:L50)</f>
        <v>0</v>
      </c>
    </row>
    <row r="52" spans="2:12" ht="20.100000000000001" customHeight="1" thickBot="1" x14ac:dyDescent="0.3">
      <c r="B52" s="132" t="s">
        <v>52</v>
      </c>
      <c r="C52" s="134"/>
      <c r="D52" s="135">
        <f>D51*'Carbon calculation'!$J$8</f>
        <v>0</v>
      </c>
      <c r="F52" s="132" t="s">
        <v>52</v>
      </c>
      <c r="G52" s="134"/>
      <c r="H52" s="135">
        <f>H51*'Carbon calculation'!$J$8</f>
        <v>0</v>
      </c>
      <c r="J52" s="132" t="s">
        <v>52</v>
      </c>
      <c r="K52" s="134"/>
      <c r="L52" s="135">
        <f>L51*'Carbon calculation'!$J$8</f>
        <v>0</v>
      </c>
    </row>
    <row r="53" spans="2:12" ht="20.100000000000001" customHeight="1" thickBot="1" x14ac:dyDescent="0.3">
      <c r="B53" s="119" t="s">
        <v>159</v>
      </c>
      <c r="C53" s="121"/>
      <c r="D53" s="123"/>
      <c r="E53" s="88"/>
      <c r="F53" s="119" t="s">
        <v>159</v>
      </c>
      <c r="G53" s="121"/>
      <c r="H53" s="123"/>
      <c r="J53" s="119" t="s">
        <v>159</v>
      </c>
      <c r="K53" s="121"/>
      <c r="L53" s="123"/>
    </row>
    <row r="54" spans="2:12" ht="20.100000000000001" customHeight="1" thickBot="1" x14ac:dyDescent="0.3">
      <c r="B54" s="128" t="s">
        <v>160</v>
      </c>
      <c r="D54" s="124">
        <f>C53*D51</f>
        <v>0</v>
      </c>
      <c r="F54" s="128" t="s">
        <v>160</v>
      </c>
      <c r="H54" s="124">
        <f>G53*H51</f>
        <v>0</v>
      </c>
      <c r="J54" s="128" t="s">
        <v>160</v>
      </c>
      <c r="L54" s="124">
        <f>K53*L51</f>
        <v>0</v>
      </c>
    </row>
    <row r="55" spans="2:12" ht="20.100000000000001" customHeight="1" thickBot="1" x14ac:dyDescent="0.3">
      <c r="B55" s="129" t="s">
        <v>161</v>
      </c>
      <c r="C55" s="130"/>
      <c r="D55" s="131">
        <f>D54*'Carbon calculation'!$J$8</f>
        <v>0</v>
      </c>
      <c r="F55" s="129" t="s">
        <v>161</v>
      </c>
      <c r="G55" s="130"/>
      <c r="H55" s="131">
        <f>H54*'Carbon calculation'!$J$8</f>
        <v>0</v>
      </c>
      <c r="J55" s="129" t="s">
        <v>161</v>
      </c>
      <c r="K55" s="130"/>
      <c r="L55" s="131">
        <f>L54*'Carbon calculation'!$J$8</f>
        <v>0</v>
      </c>
    </row>
    <row r="57" spans="2:12" ht="20.100000000000001" customHeight="1" x14ac:dyDescent="0.25">
      <c r="B57" s="10" t="s">
        <v>211</v>
      </c>
      <c r="C57" s="10">
        <v>249</v>
      </c>
      <c r="D57" s="10"/>
      <c r="E57" s="10"/>
    </row>
    <row r="58" spans="2:12" ht="20.100000000000001" customHeight="1" x14ac:dyDescent="0.25">
      <c r="B58" s="10"/>
      <c r="C58" s="10"/>
      <c r="D58" s="103" t="s">
        <v>114</v>
      </c>
      <c r="E58" s="103" t="s">
        <v>85</v>
      </c>
    </row>
    <row r="59" spans="2:12" ht="20.100000000000001" customHeight="1" x14ac:dyDescent="0.25">
      <c r="B59" s="10" t="s">
        <v>64</v>
      </c>
      <c r="C59" s="10">
        <f>$C$57-D59-E59</f>
        <v>216</v>
      </c>
      <c r="D59" s="10">
        <v>20</v>
      </c>
      <c r="E59" s="10">
        <v>13</v>
      </c>
    </row>
    <row r="60" spans="2:12" ht="20.100000000000001" customHeight="1" x14ac:dyDescent="0.25">
      <c r="B60" s="10" t="s">
        <v>81</v>
      </c>
      <c r="C60" s="10">
        <f>(C57*0.8)-D60-E60</f>
        <v>170.20000000000002</v>
      </c>
      <c r="D60" s="10">
        <f>20*0.8</f>
        <v>16</v>
      </c>
      <c r="E60" s="10">
        <v>13</v>
      </c>
    </row>
    <row r="61" spans="2:12" ht="20.100000000000001" customHeight="1" x14ac:dyDescent="0.25">
      <c r="B61" s="10" t="s">
        <v>82</v>
      </c>
      <c r="C61" s="10">
        <f>(C57*0.6)-D61-E61</f>
        <v>124.4</v>
      </c>
      <c r="D61" s="10">
        <f>20*0.6</f>
        <v>12</v>
      </c>
      <c r="E61" s="10">
        <v>13</v>
      </c>
    </row>
    <row r="62" spans="2:12" ht="20.100000000000001" customHeight="1" x14ac:dyDescent="0.25">
      <c r="B62" s="10" t="s">
        <v>84</v>
      </c>
      <c r="C62" s="10">
        <f>(C57*0.5)-D62-E62</f>
        <v>101.5</v>
      </c>
      <c r="D62" s="10">
        <f>20*0.5</f>
        <v>10</v>
      </c>
      <c r="E62" s="10">
        <v>13</v>
      </c>
    </row>
    <row r="63" spans="2:12" ht="20.100000000000001" customHeight="1" x14ac:dyDescent="0.25">
      <c r="B63" s="10" t="s">
        <v>83</v>
      </c>
      <c r="C63" s="10">
        <f>(C57*0.4)-D63-E63</f>
        <v>78.600000000000009</v>
      </c>
      <c r="D63" s="10">
        <f>20*0.4</f>
        <v>8</v>
      </c>
      <c r="E63" s="10">
        <v>13</v>
      </c>
    </row>
  </sheetData>
  <mergeCells count="1"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3629-967E-0842-BA83-F9206E89BD00}">
  <dimension ref="B1:Z38"/>
  <sheetViews>
    <sheetView tabSelected="1" zoomScale="170" zoomScaleNormal="170" workbookViewId="0">
      <selection activeCell="X6" sqref="X6"/>
    </sheetView>
  </sheetViews>
  <sheetFormatPr defaultColWidth="11" defaultRowHeight="20.100000000000001" customHeight="1" x14ac:dyDescent="0.25"/>
  <cols>
    <col min="1" max="1" width="8" customWidth="1"/>
    <col min="2" max="2" width="18.875" customWidth="1"/>
    <col min="23" max="23" width="14.375" customWidth="1"/>
    <col min="24" max="24" width="11.5" bestFit="1" customWidth="1"/>
    <col min="25" max="25" width="4" customWidth="1"/>
    <col min="26" max="26" width="84.125" bestFit="1" customWidth="1"/>
  </cols>
  <sheetData>
    <row r="1" spans="2:26" ht="20.100000000000001" customHeight="1" thickBot="1" x14ac:dyDescent="0.3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26" ht="15.75" x14ac:dyDescent="0.25">
      <c r="B2" s="14" t="s">
        <v>21</v>
      </c>
      <c r="C2" s="14" t="s">
        <v>22</v>
      </c>
      <c r="D2" s="15" t="str">
        <f>W4</f>
        <v>Flight A - B</v>
      </c>
      <c r="E2" s="15" t="s">
        <v>23</v>
      </c>
      <c r="F2" s="16" t="str">
        <f>W5</f>
        <v>Flight A - B</v>
      </c>
      <c r="G2" s="16" t="s">
        <v>23</v>
      </c>
      <c r="H2" s="15" t="str">
        <f>W6</f>
        <v>Flight A - B</v>
      </c>
      <c r="I2" s="15" t="s">
        <v>23</v>
      </c>
      <c r="J2" s="16" t="str">
        <f>W7</f>
        <v>Flight A - B</v>
      </c>
      <c r="K2" s="16" t="s">
        <v>23</v>
      </c>
      <c r="L2" s="15" t="str">
        <f>W8</f>
        <v>Flight A - B</v>
      </c>
      <c r="M2" s="15" t="s">
        <v>23</v>
      </c>
      <c r="N2" s="16" t="str">
        <f>W11</f>
        <v>Flight A - B</v>
      </c>
      <c r="O2" s="17" t="s">
        <v>23</v>
      </c>
      <c r="P2" s="15" t="str">
        <f>W9</f>
        <v>Flight A - B</v>
      </c>
      <c r="Q2" s="15" t="s">
        <v>23</v>
      </c>
      <c r="R2" s="16" t="str">
        <f>W10</f>
        <v>Flight A - B</v>
      </c>
      <c r="S2" s="17" t="s">
        <v>23</v>
      </c>
      <c r="T2" s="74" t="s">
        <v>24</v>
      </c>
      <c r="U2" s="75" t="s">
        <v>25</v>
      </c>
      <c r="V2" s="11"/>
      <c r="W2" s="105" t="s">
        <v>179</v>
      </c>
      <c r="X2" s="106"/>
      <c r="Z2" s="109" t="s">
        <v>180</v>
      </c>
    </row>
    <row r="3" spans="2:26" ht="20.100000000000001" customHeight="1" x14ac:dyDescent="0.25">
      <c r="B3" s="19"/>
      <c r="C3" s="20"/>
      <c r="D3" s="21"/>
      <c r="E3" s="22">
        <f>D3*$X$4</f>
        <v>0</v>
      </c>
      <c r="F3" s="21"/>
      <c r="G3" s="22">
        <f>F3*$X$5</f>
        <v>0</v>
      </c>
      <c r="H3" s="21"/>
      <c r="I3" s="22">
        <f>H3*$X$6</f>
        <v>0</v>
      </c>
      <c r="J3" s="21"/>
      <c r="K3" s="22">
        <f>J3*$X$7</f>
        <v>0</v>
      </c>
      <c r="L3" s="21"/>
      <c r="M3" s="22">
        <f>L3*$X$8</f>
        <v>0</v>
      </c>
      <c r="N3" s="21"/>
      <c r="O3" s="22">
        <f t="shared" ref="O3:O34" si="0">N3*$X$11</f>
        <v>0</v>
      </c>
      <c r="P3" s="21"/>
      <c r="Q3" s="23">
        <f>P3*$X$9</f>
        <v>0</v>
      </c>
      <c r="R3" s="21"/>
      <c r="S3" s="22">
        <f>R3*$X$10</f>
        <v>0</v>
      </c>
      <c r="T3" s="24"/>
      <c r="U3" s="25"/>
      <c r="V3" s="12"/>
      <c r="W3" s="76" t="s">
        <v>26</v>
      </c>
      <c r="X3" s="77" t="s">
        <v>27</v>
      </c>
      <c r="Z3" s="110" t="s">
        <v>181</v>
      </c>
    </row>
    <row r="4" spans="2:26" ht="20.100000000000001" customHeight="1" x14ac:dyDescent="0.25">
      <c r="B4" s="19"/>
      <c r="C4" s="20"/>
      <c r="D4" s="21"/>
      <c r="E4" s="22">
        <f t="shared" ref="E4:E34" si="1">D4*$X$4</f>
        <v>0</v>
      </c>
      <c r="F4" s="21"/>
      <c r="G4" s="22">
        <f t="shared" ref="G4:G34" si="2">F4*$X$5</f>
        <v>0</v>
      </c>
      <c r="H4" s="21"/>
      <c r="I4" s="22">
        <f t="shared" ref="I4:I34" si="3">H4*$X$6</f>
        <v>0</v>
      </c>
      <c r="J4" s="21"/>
      <c r="K4" s="22">
        <f t="shared" ref="K4:K34" si="4">J4*$X$7</f>
        <v>0</v>
      </c>
      <c r="L4" s="21"/>
      <c r="M4" s="22">
        <f t="shared" ref="M4:M34" si="5">L4*$X$8</f>
        <v>0</v>
      </c>
      <c r="N4" s="21"/>
      <c r="O4" s="22">
        <f t="shared" si="0"/>
        <v>0</v>
      </c>
      <c r="P4" s="21"/>
      <c r="Q4" s="23">
        <f t="shared" ref="Q4:Q34" si="6">P4*$X$9</f>
        <v>0</v>
      </c>
      <c r="R4" s="21"/>
      <c r="S4" s="22">
        <f t="shared" ref="S4:S34" si="7">R4*$X$10</f>
        <v>0</v>
      </c>
      <c r="T4" s="24"/>
      <c r="U4" s="25"/>
      <c r="V4" s="11"/>
      <c r="W4" s="78" t="s">
        <v>178</v>
      </c>
      <c r="X4" s="107">
        <v>0</v>
      </c>
      <c r="Z4" s="110" t="s">
        <v>182</v>
      </c>
    </row>
    <row r="5" spans="2:26" ht="20.100000000000001" customHeight="1" x14ac:dyDescent="0.25">
      <c r="B5" s="19"/>
      <c r="C5" s="20"/>
      <c r="D5" s="21"/>
      <c r="E5" s="22">
        <f t="shared" si="1"/>
        <v>0</v>
      </c>
      <c r="F5" s="21"/>
      <c r="G5" s="22">
        <f t="shared" si="2"/>
        <v>0</v>
      </c>
      <c r="H5" s="21"/>
      <c r="I5" s="22">
        <f t="shared" si="3"/>
        <v>0</v>
      </c>
      <c r="J5" s="21"/>
      <c r="K5" s="22">
        <f t="shared" si="4"/>
        <v>0</v>
      </c>
      <c r="L5" s="21"/>
      <c r="M5" s="22">
        <f t="shared" si="5"/>
        <v>0</v>
      </c>
      <c r="N5" s="21"/>
      <c r="O5" s="22">
        <f t="shared" si="0"/>
        <v>0</v>
      </c>
      <c r="P5" s="21"/>
      <c r="Q5" s="23">
        <f t="shared" si="6"/>
        <v>0</v>
      </c>
      <c r="R5" s="21"/>
      <c r="S5" s="22">
        <f t="shared" si="7"/>
        <v>0</v>
      </c>
      <c r="T5" s="39"/>
      <c r="U5" s="25"/>
      <c r="V5" s="11"/>
      <c r="W5" s="78" t="s">
        <v>178</v>
      </c>
      <c r="X5" s="107">
        <v>0</v>
      </c>
    </row>
    <row r="6" spans="2:26" ht="20.100000000000001" customHeight="1" x14ac:dyDescent="0.25">
      <c r="B6" s="19"/>
      <c r="C6" s="20"/>
      <c r="D6" s="21"/>
      <c r="E6" s="22">
        <f t="shared" si="1"/>
        <v>0</v>
      </c>
      <c r="F6" s="21"/>
      <c r="G6" s="22">
        <f t="shared" si="2"/>
        <v>0</v>
      </c>
      <c r="H6" s="21"/>
      <c r="I6" s="22">
        <f t="shared" si="3"/>
        <v>0</v>
      </c>
      <c r="J6" s="21"/>
      <c r="K6" s="22">
        <f t="shared" si="4"/>
        <v>0</v>
      </c>
      <c r="L6" s="21"/>
      <c r="M6" s="22">
        <f t="shared" si="5"/>
        <v>0</v>
      </c>
      <c r="N6" s="21"/>
      <c r="O6" s="22">
        <f t="shared" si="0"/>
        <v>0</v>
      </c>
      <c r="P6" s="21"/>
      <c r="Q6" s="23">
        <f t="shared" si="6"/>
        <v>0</v>
      </c>
      <c r="R6" s="21"/>
      <c r="S6" s="22">
        <f t="shared" si="7"/>
        <v>0</v>
      </c>
      <c r="T6" s="39"/>
      <c r="U6" s="25"/>
      <c r="V6" s="11"/>
      <c r="W6" s="78" t="s">
        <v>178</v>
      </c>
      <c r="X6" s="107">
        <v>0</v>
      </c>
    </row>
    <row r="7" spans="2:26" ht="20.100000000000001" customHeight="1" x14ac:dyDescent="0.25">
      <c r="B7" s="19"/>
      <c r="C7" s="20"/>
      <c r="D7" s="21"/>
      <c r="E7" s="22">
        <f t="shared" si="1"/>
        <v>0</v>
      </c>
      <c r="F7" s="21"/>
      <c r="G7" s="22">
        <f t="shared" si="2"/>
        <v>0</v>
      </c>
      <c r="H7" s="21"/>
      <c r="I7" s="22">
        <f t="shared" si="3"/>
        <v>0</v>
      </c>
      <c r="J7" s="21"/>
      <c r="K7" s="22">
        <f t="shared" si="4"/>
        <v>0</v>
      </c>
      <c r="L7" s="21"/>
      <c r="M7" s="22">
        <f t="shared" si="5"/>
        <v>0</v>
      </c>
      <c r="N7" s="21"/>
      <c r="O7" s="22">
        <f t="shared" si="0"/>
        <v>0</v>
      </c>
      <c r="P7" s="21"/>
      <c r="Q7" s="23">
        <f t="shared" si="6"/>
        <v>0</v>
      </c>
      <c r="R7" s="21"/>
      <c r="S7" s="22">
        <f t="shared" si="7"/>
        <v>0</v>
      </c>
      <c r="T7" s="24"/>
      <c r="U7" s="25"/>
      <c r="V7" s="11"/>
      <c r="W7" s="78" t="s">
        <v>178</v>
      </c>
      <c r="X7" s="107">
        <v>0</v>
      </c>
    </row>
    <row r="8" spans="2:26" ht="20.100000000000001" customHeight="1" x14ac:dyDescent="0.25">
      <c r="B8" s="19"/>
      <c r="C8" s="20"/>
      <c r="D8" s="21"/>
      <c r="E8" s="22">
        <f t="shared" si="1"/>
        <v>0</v>
      </c>
      <c r="F8" s="21"/>
      <c r="G8" s="22">
        <f t="shared" si="2"/>
        <v>0</v>
      </c>
      <c r="H8" s="21"/>
      <c r="I8" s="22">
        <f t="shared" si="3"/>
        <v>0</v>
      </c>
      <c r="J8" s="21"/>
      <c r="K8" s="22">
        <f t="shared" si="4"/>
        <v>0</v>
      </c>
      <c r="L8" s="21"/>
      <c r="M8" s="22">
        <f t="shared" si="5"/>
        <v>0</v>
      </c>
      <c r="N8" s="21"/>
      <c r="O8" s="22">
        <f t="shared" si="0"/>
        <v>0</v>
      </c>
      <c r="P8" s="21"/>
      <c r="Q8" s="23">
        <f t="shared" si="6"/>
        <v>0</v>
      </c>
      <c r="R8" s="21"/>
      <c r="S8" s="22">
        <f t="shared" si="7"/>
        <v>0</v>
      </c>
      <c r="T8" s="24"/>
      <c r="U8" s="25"/>
      <c r="V8" s="11"/>
      <c r="W8" s="78" t="s">
        <v>178</v>
      </c>
      <c r="X8" s="107">
        <v>0</v>
      </c>
    </row>
    <row r="9" spans="2:26" ht="20.100000000000001" customHeight="1" x14ac:dyDescent="0.25">
      <c r="B9" s="19"/>
      <c r="C9" s="20"/>
      <c r="D9" s="21"/>
      <c r="E9" s="22">
        <f t="shared" si="1"/>
        <v>0</v>
      </c>
      <c r="F9" s="21"/>
      <c r="G9" s="22">
        <f t="shared" si="2"/>
        <v>0</v>
      </c>
      <c r="H9" s="21"/>
      <c r="I9" s="22">
        <f t="shared" si="3"/>
        <v>0</v>
      </c>
      <c r="J9" s="21"/>
      <c r="K9" s="22">
        <f t="shared" si="4"/>
        <v>0</v>
      </c>
      <c r="L9" s="21"/>
      <c r="M9" s="22">
        <f t="shared" si="5"/>
        <v>0</v>
      </c>
      <c r="N9" s="21"/>
      <c r="O9" s="22">
        <f t="shared" si="0"/>
        <v>0</v>
      </c>
      <c r="P9" s="21"/>
      <c r="Q9" s="23">
        <f t="shared" si="6"/>
        <v>0</v>
      </c>
      <c r="R9" s="21"/>
      <c r="S9" s="22">
        <f t="shared" si="7"/>
        <v>0</v>
      </c>
      <c r="T9" s="24"/>
      <c r="U9" s="25"/>
      <c r="V9" s="11"/>
      <c r="W9" s="78" t="s">
        <v>178</v>
      </c>
      <c r="X9" s="107">
        <v>0</v>
      </c>
    </row>
    <row r="10" spans="2:26" ht="20.100000000000001" customHeight="1" x14ac:dyDescent="0.25">
      <c r="B10" s="19"/>
      <c r="C10" s="20"/>
      <c r="D10" s="21"/>
      <c r="E10" s="22">
        <f t="shared" si="1"/>
        <v>0</v>
      </c>
      <c r="F10" s="21"/>
      <c r="G10" s="22">
        <f t="shared" si="2"/>
        <v>0</v>
      </c>
      <c r="H10" s="21"/>
      <c r="I10" s="22">
        <f t="shared" si="3"/>
        <v>0</v>
      </c>
      <c r="J10" s="21"/>
      <c r="K10" s="22">
        <f t="shared" si="4"/>
        <v>0</v>
      </c>
      <c r="L10" s="21"/>
      <c r="M10" s="22">
        <f t="shared" si="5"/>
        <v>0</v>
      </c>
      <c r="N10" s="21"/>
      <c r="O10" s="22">
        <f t="shared" si="0"/>
        <v>0</v>
      </c>
      <c r="P10" s="21"/>
      <c r="Q10" s="23">
        <f t="shared" si="6"/>
        <v>0</v>
      </c>
      <c r="R10" s="21"/>
      <c r="S10" s="22">
        <f t="shared" si="7"/>
        <v>0</v>
      </c>
      <c r="T10" s="24"/>
      <c r="U10" s="25"/>
      <c r="V10" s="11"/>
      <c r="W10" s="78" t="s">
        <v>178</v>
      </c>
      <c r="X10" s="107">
        <v>0</v>
      </c>
    </row>
    <row r="11" spans="2:26" ht="20.100000000000001" customHeight="1" thickBot="1" x14ac:dyDescent="0.3">
      <c r="B11" s="19"/>
      <c r="C11" s="20"/>
      <c r="D11" s="21"/>
      <c r="E11" s="22">
        <f t="shared" si="1"/>
        <v>0</v>
      </c>
      <c r="F11" s="21"/>
      <c r="G11" s="22">
        <f t="shared" si="2"/>
        <v>0</v>
      </c>
      <c r="H11" s="21"/>
      <c r="I11" s="22">
        <f t="shared" si="3"/>
        <v>0</v>
      </c>
      <c r="J11" s="21"/>
      <c r="K11" s="22">
        <f t="shared" si="4"/>
        <v>0</v>
      </c>
      <c r="L11" s="21"/>
      <c r="M11" s="22">
        <f t="shared" si="5"/>
        <v>0</v>
      </c>
      <c r="N11" s="21"/>
      <c r="O11" s="22">
        <f t="shared" si="0"/>
        <v>0</v>
      </c>
      <c r="P11" s="21"/>
      <c r="Q11" s="23">
        <f t="shared" si="6"/>
        <v>0</v>
      </c>
      <c r="R11" s="21"/>
      <c r="S11" s="22">
        <f t="shared" si="7"/>
        <v>0</v>
      </c>
      <c r="T11" s="24"/>
      <c r="U11" s="25"/>
      <c r="V11" s="11"/>
      <c r="W11" s="79" t="s">
        <v>178</v>
      </c>
      <c r="X11" s="108">
        <v>0</v>
      </c>
    </row>
    <row r="12" spans="2:26" ht="20.100000000000001" customHeight="1" x14ac:dyDescent="0.25">
      <c r="B12" s="19"/>
      <c r="C12" s="20"/>
      <c r="D12" s="21"/>
      <c r="E12" s="22">
        <f t="shared" si="1"/>
        <v>0</v>
      </c>
      <c r="F12" s="21"/>
      <c r="G12" s="22">
        <f t="shared" si="2"/>
        <v>0</v>
      </c>
      <c r="H12" s="21"/>
      <c r="I12" s="22">
        <f t="shared" si="3"/>
        <v>0</v>
      </c>
      <c r="J12" s="21"/>
      <c r="K12" s="22">
        <f t="shared" si="4"/>
        <v>0</v>
      </c>
      <c r="L12" s="21"/>
      <c r="M12" s="22">
        <f t="shared" si="5"/>
        <v>0</v>
      </c>
      <c r="N12" s="21"/>
      <c r="O12" s="22">
        <f t="shared" si="0"/>
        <v>0</v>
      </c>
      <c r="P12" s="21"/>
      <c r="Q12" s="23">
        <f t="shared" si="6"/>
        <v>0</v>
      </c>
      <c r="R12" s="21"/>
      <c r="S12" s="22">
        <f t="shared" si="7"/>
        <v>0</v>
      </c>
      <c r="T12" s="24"/>
      <c r="U12" s="25"/>
      <c r="V12" s="11"/>
      <c r="W12" s="11"/>
      <c r="X12" s="11"/>
    </row>
    <row r="13" spans="2:26" ht="20.100000000000001" customHeight="1" x14ac:dyDescent="0.25">
      <c r="B13" s="19"/>
      <c r="C13" s="20"/>
      <c r="D13" s="21"/>
      <c r="E13" s="22">
        <f t="shared" si="1"/>
        <v>0</v>
      </c>
      <c r="F13" s="21"/>
      <c r="G13" s="22">
        <f t="shared" si="2"/>
        <v>0</v>
      </c>
      <c r="H13" s="21"/>
      <c r="I13" s="22">
        <f t="shared" si="3"/>
        <v>0</v>
      </c>
      <c r="J13" s="21"/>
      <c r="K13" s="22">
        <f t="shared" si="4"/>
        <v>0</v>
      </c>
      <c r="L13" s="21"/>
      <c r="M13" s="22">
        <f t="shared" si="5"/>
        <v>0</v>
      </c>
      <c r="N13" s="21"/>
      <c r="O13" s="22">
        <f t="shared" si="0"/>
        <v>0</v>
      </c>
      <c r="P13" s="21"/>
      <c r="Q13" s="23">
        <f t="shared" si="6"/>
        <v>0</v>
      </c>
      <c r="R13" s="21"/>
      <c r="S13" s="22">
        <f t="shared" si="7"/>
        <v>0</v>
      </c>
      <c r="T13" s="24"/>
      <c r="U13" s="25"/>
      <c r="V13" s="11"/>
    </row>
    <row r="14" spans="2:26" ht="20.100000000000001" customHeight="1" x14ac:dyDescent="0.25">
      <c r="B14" s="19"/>
      <c r="C14" s="20"/>
      <c r="D14" s="21"/>
      <c r="E14" s="22">
        <f t="shared" si="1"/>
        <v>0</v>
      </c>
      <c r="F14" s="21"/>
      <c r="G14" s="22">
        <f t="shared" si="2"/>
        <v>0</v>
      </c>
      <c r="H14" s="21"/>
      <c r="I14" s="22">
        <f t="shared" si="3"/>
        <v>0</v>
      </c>
      <c r="J14" s="21"/>
      <c r="K14" s="22">
        <f t="shared" si="4"/>
        <v>0</v>
      </c>
      <c r="L14" s="21"/>
      <c r="M14" s="22">
        <f t="shared" si="5"/>
        <v>0</v>
      </c>
      <c r="N14" s="21"/>
      <c r="O14" s="22">
        <f t="shared" si="0"/>
        <v>0</v>
      </c>
      <c r="P14" s="21"/>
      <c r="Q14" s="23">
        <f t="shared" si="6"/>
        <v>0</v>
      </c>
      <c r="R14" s="21"/>
      <c r="S14" s="22">
        <f t="shared" si="7"/>
        <v>0</v>
      </c>
      <c r="T14" s="24"/>
      <c r="U14" s="25"/>
      <c r="V14" s="11"/>
      <c r="W14" s="11"/>
      <c r="X14" s="11"/>
    </row>
    <row r="15" spans="2:26" ht="20.100000000000001" customHeight="1" x14ac:dyDescent="0.25">
      <c r="B15" s="19"/>
      <c r="C15" s="20"/>
      <c r="D15" s="21"/>
      <c r="E15" s="22">
        <f t="shared" si="1"/>
        <v>0</v>
      </c>
      <c r="F15" s="21"/>
      <c r="G15" s="22">
        <f t="shared" si="2"/>
        <v>0</v>
      </c>
      <c r="H15" s="21"/>
      <c r="I15" s="22">
        <f t="shared" si="3"/>
        <v>0</v>
      </c>
      <c r="J15" s="21"/>
      <c r="K15" s="22">
        <f t="shared" si="4"/>
        <v>0</v>
      </c>
      <c r="L15" s="21"/>
      <c r="M15" s="22">
        <f t="shared" si="5"/>
        <v>0</v>
      </c>
      <c r="N15" s="21"/>
      <c r="O15" s="22">
        <f t="shared" si="0"/>
        <v>0</v>
      </c>
      <c r="P15" s="21"/>
      <c r="Q15" s="23">
        <f t="shared" si="6"/>
        <v>0</v>
      </c>
      <c r="R15" s="21"/>
      <c r="S15" s="22">
        <f t="shared" si="7"/>
        <v>0</v>
      </c>
      <c r="T15" s="24"/>
      <c r="U15" s="25"/>
      <c r="V15" s="11"/>
      <c r="W15" s="11"/>
      <c r="X15" s="11"/>
    </row>
    <row r="16" spans="2:26" ht="20.100000000000001" customHeight="1" x14ac:dyDescent="0.25">
      <c r="B16" s="19"/>
      <c r="C16" s="20"/>
      <c r="D16" s="21"/>
      <c r="E16" s="22">
        <f t="shared" si="1"/>
        <v>0</v>
      </c>
      <c r="F16" s="21"/>
      <c r="G16" s="22">
        <f t="shared" si="2"/>
        <v>0</v>
      </c>
      <c r="H16" s="21"/>
      <c r="I16" s="22">
        <f t="shared" si="3"/>
        <v>0</v>
      </c>
      <c r="J16" s="21"/>
      <c r="K16" s="22">
        <f t="shared" si="4"/>
        <v>0</v>
      </c>
      <c r="L16" s="21"/>
      <c r="M16" s="22">
        <f t="shared" si="5"/>
        <v>0</v>
      </c>
      <c r="N16" s="21"/>
      <c r="O16" s="22">
        <f t="shared" si="0"/>
        <v>0</v>
      </c>
      <c r="P16" s="21"/>
      <c r="Q16" s="23">
        <f t="shared" si="6"/>
        <v>0</v>
      </c>
      <c r="R16" s="21"/>
      <c r="S16" s="22">
        <f t="shared" si="7"/>
        <v>0</v>
      </c>
      <c r="T16" s="24"/>
      <c r="U16" s="25"/>
      <c r="V16" s="11"/>
      <c r="W16" s="11"/>
      <c r="X16" s="11"/>
    </row>
    <row r="17" spans="2:24" ht="20.100000000000001" customHeight="1" x14ac:dyDescent="0.25">
      <c r="B17" s="19"/>
      <c r="C17" s="20"/>
      <c r="D17" s="21"/>
      <c r="E17" s="22">
        <f t="shared" si="1"/>
        <v>0</v>
      </c>
      <c r="F17" s="21"/>
      <c r="G17" s="22">
        <f t="shared" si="2"/>
        <v>0</v>
      </c>
      <c r="H17" s="21"/>
      <c r="I17" s="22">
        <f t="shared" si="3"/>
        <v>0</v>
      </c>
      <c r="J17" s="21"/>
      <c r="K17" s="22">
        <f t="shared" si="4"/>
        <v>0</v>
      </c>
      <c r="L17" s="21"/>
      <c r="M17" s="22">
        <f t="shared" si="5"/>
        <v>0</v>
      </c>
      <c r="N17" s="21"/>
      <c r="O17" s="22">
        <f t="shared" si="0"/>
        <v>0</v>
      </c>
      <c r="P17" s="21"/>
      <c r="Q17" s="23">
        <f t="shared" si="6"/>
        <v>0</v>
      </c>
      <c r="R17" s="21"/>
      <c r="S17" s="22">
        <f t="shared" si="7"/>
        <v>0</v>
      </c>
      <c r="T17" s="24"/>
      <c r="U17" s="25"/>
      <c r="V17" s="11"/>
      <c r="W17" s="11"/>
      <c r="X17" s="11"/>
    </row>
    <row r="18" spans="2:24" ht="20.100000000000001" customHeight="1" x14ac:dyDescent="0.25">
      <c r="B18" s="19"/>
      <c r="C18" s="20"/>
      <c r="D18" s="21"/>
      <c r="E18" s="22">
        <f t="shared" si="1"/>
        <v>0</v>
      </c>
      <c r="F18" s="21"/>
      <c r="G18" s="22">
        <f t="shared" si="2"/>
        <v>0</v>
      </c>
      <c r="H18" s="21"/>
      <c r="I18" s="22">
        <f t="shared" si="3"/>
        <v>0</v>
      </c>
      <c r="J18" s="21"/>
      <c r="K18" s="22">
        <f t="shared" si="4"/>
        <v>0</v>
      </c>
      <c r="L18" s="21"/>
      <c r="M18" s="22">
        <f t="shared" si="5"/>
        <v>0</v>
      </c>
      <c r="N18" s="21"/>
      <c r="O18" s="22">
        <f t="shared" si="0"/>
        <v>0</v>
      </c>
      <c r="P18" s="21"/>
      <c r="Q18" s="23">
        <f t="shared" si="6"/>
        <v>0</v>
      </c>
      <c r="R18" s="21"/>
      <c r="S18" s="22">
        <f t="shared" si="7"/>
        <v>0</v>
      </c>
      <c r="T18" s="24"/>
      <c r="U18" s="25"/>
      <c r="V18" s="11"/>
      <c r="W18" s="11"/>
      <c r="X18" s="11"/>
    </row>
    <row r="19" spans="2:24" ht="20.100000000000001" customHeight="1" x14ac:dyDescent="0.25">
      <c r="B19" s="19"/>
      <c r="C19" s="20"/>
      <c r="D19" s="21"/>
      <c r="E19" s="22">
        <f t="shared" si="1"/>
        <v>0</v>
      </c>
      <c r="F19" s="21"/>
      <c r="G19" s="22">
        <f t="shared" si="2"/>
        <v>0</v>
      </c>
      <c r="H19" s="21"/>
      <c r="I19" s="22">
        <f t="shared" si="3"/>
        <v>0</v>
      </c>
      <c r="J19" s="21"/>
      <c r="K19" s="22">
        <f t="shared" si="4"/>
        <v>0</v>
      </c>
      <c r="L19" s="21"/>
      <c r="M19" s="22">
        <f t="shared" si="5"/>
        <v>0</v>
      </c>
      <c r="N19" s="21"/>
      <c r="O19" s="22">
        <f t="shared" si="0"/>
        <v>0</v>
      </c>
      <c r="P19" s="21"/>
      <c r="Q19" s="23">
        <f t="shared" si="6"/>
        <v>0</v>
      </c>
      <c r="R19" s="21"/>
      <c r="S19" s="22">
        <f t="shared" si="7"/>
        <v>0</v>
      </c>
      <c r="T19" s="24"/>
      <c r="U19" s="25"/>
      <c r="V19" s="11"/>
      <c r="W19" s="11"/>
      <c r="X19" s="11"/>
    </row>
    <row r="20" spans="2:24" ht="20.100000000000001" customHeight="1" x14ac:dyDescent="0.25">
      <c r="B20" s="19"/>
      <c r="C20" s="20"/>
      <c r="D20" s="21"/>
      <c r="E20" s="22">
        <f t="shared" si="1"/>
        <v>0</v>
      </c>
      <c r="F20" s="21"/>
      <c r="G20" s="22">
        <f t="shared" si="2"/>
        <v>0</v>
      </c>
      <c r="H20" s="21"/>
      <c r="I20" s="22">
        <f t="shared" si="3"/>
        <v>0</v>
      </c>
      <c r="J20" s="21"/>
      <c r="K20" s="22">
        <f t="shared" si="4"/>
        <v>0</v>
      </c>
      <c r="L20" s="21"/>
      <c r="M20" s="22">
        <f t="shared" si="5"/>
        <v>0</v>
      </c>
      <c r="N20" s="21"/>
      <c r="O20" s="22">
        <f t="shared" si="0"/>
        <v>0</v>
      </c>
      <c r="P20" s="21"/>
      <c r="Q20" s="23">
        <f t="shared" si="6"/>
        <v>0</v>
      </c>
      <c r="R20" s="21"/>
      <c r="S20" s="22">
        <f t="shared" si="7"/>
        <v>0</v>
      </c>
      <c r="T20" s="24"/>
      <c r="U20" s="25"/>
      <c r="V20" s="11"/>
      <c r="W20" s="11"/>
      <c r="X20" s="11"/>
    </row>
    <row r="21" spans="2:24" ht="20.100000000000001" customHeight="1" x14ac:dyDescent="0.25">
      <c r="B21" s="19"/>
      <c r="C21" s="20"/>
      <c r="D21" s="21"/>
      <c r="E21" s="22">
        <f t="shared" si="1"/>
        <v>0</v>
      </c>
      <c r="F21" s="21"/>
      <c r="G21" s="22">
        <f t="shared" si="2"/>
        <v>0</v>
      </c>
      <c r="H21" s="21"/>
      <c r="I21" s="22">
        <f t="shared" si="3"/>
        <v>0</v>
      </c>
      <c r="J21" s="21"/>
      <c r="K21" s="22">
        <f t="shared" si="4"/>
        <v>0</v>
      </c>
      <c r="L21" s="21"/>
      <c r="M21" s="22">
        <f t="shared" si="5"/>
        <v>0</v>
      </c>
      <c r="N21" s="21"/>
      <c r="O21" s="22">
        <f t="shared" si="0"/>
        <v>0</v>
      </c>
      <c r="P21" s="21"/>
      <c r="Q21" s="23">
        <f t="shared" si="6"/>
        <v>0</v>
      </c>
      <c r="R21" s="21"/>
      <c r="S21" s="22">
        <f t="shared" si="7"/>
        <v>0</v>
      </c>
      <c r="T21" s="24"/>
      <c r="U21" s="25"/>
      <c r="V21" s="11"/>
      <c r="W21" s="11"/>
      <c r="X21" s="11"/>
    </row>
    <row r="22" spans="2:24" ht="20.100000000000001" customHeight="1" x14ac:dyDescent="0.25">
      <c r="B22" s="19"/>
      <c r="C22" s="20"/>
      <c r="D22" s="21"/>
      <c r="E22" s="22">
        <f t="shared" si="1"/>
        <v>0</v>
      </c>
      <c r="F22" s="21"/>
      <c r="G22" s="22">
        <f t="shared" si="2"/>
        <v>0</v>
      </c>
      <c r="H22" s="21"/>
      <c r="I22" s="22">
        <f t="shared" si="3"/>
        <v>0</v>
      </c>
      <c r="J22" s="21"/>
      <c r="K22" s="22">
        <f t="shared" si="4"/>
        <v>0</v>
      </c>
      <c r="L22" s="21"/>
      <c r="M22" s="22">
        <f t="shared" si="5"/>
        <v>0</v>
      </c>
      <c r="N22" s="21"/>
      <c r="O22" s="22">
        <f t="shared" si="0"/>
        <v>0</v>
      </c>
      <c r="P22" s="21"/>
      <c r="Q22" s="23">
        <f t="shared" si="6"/>
        <v>0</v>
      </c>
      <c r="R22" s="21"/>
      <c r="S22" s="22">
        <f t="shared" si="7"/>
        <v>0</v>
      </c>
      <c r="T22" s="24"/>
      <c r="U22" s="25"/>
      <c r="V22" s="11"/>
      <c r="W22" s="11"/>
      <c r="X22" s="11"/>
    </row>
    <row r="23" spans="2:24" ht="20.100000000000001" customHeight="1" x14ac:dyDescent="0.25">
      <c r="B23" s="19"/>
      <c r="C23" s="20"/>
      <c r="D23" s="21"/>
      <c r="E23" s="22">
        <f t="shared" si="1"/>
        <v>0</v>
      </c>
      <c r="F23" s="21"/>
      <c r="G23" s="22">
        <f t="shared" si="2"/>
        <v>0</v>
      </c>
      <c r="H23" s="21"/>
      <c r="I23" s="22">
        <f t="shared" si="3"/>
        <v>0</v>
      </c>
      <c r="J23" s="21"/>
      <c r="K23" s="22">
        <f t="shared" si="4"/>
        <v>0</v>
      </c>
      <c r="L23" s="21"/>
      <c r="M23" s="22">
        <f t="shared" si="5"/>
        <v>0</v>
      </c>
      <c r="N23" s="21"/>
      <c r="O23" s="22">
        <f t="shared" si="0"/>
        <v>0</v>
      </c>
      <c r="P23" s="21"/>
      <c r="Q23" s="23">
        <f t="shared" si="6"/>
        <v>0</v>
      </c>
      <c r="R23" s="21"/>
      <c r="S23" s="22">
        <f t="shared" si="7"/>
        <v>0</v>
      </c>
      <c r="T23" s="24"/>
      <c r="U23" s="25"/>
      <c r="V23" s="11"/>
      <c r="W23" s="11"/>
      <c r="X23" s="11"/>
    </row>
    <row r="24" spans="2:24" ht="20.100000000000001" customHeight="1" x14ac:dyDescent="0.25">
      <c r="B24" s="19"/>
      <c r="C24" s="20"/>
      <c r="D24" s="21"/>
      <c r="E24" s="22">
        <f t="shared" ref="E24:E28" si="8">D24*$X$4</f>
        <v>0</v>
      </c>
      <c r="F24" s="21"/>
      <c r="G24" s="22">
        <f t="shared" ref="G24:G28" si="9">F24*$X$5</f>
        <v>0</v>
      </c>
      <c r="H24" s="21"/>
      <c r="I24" s="22">
        <f t="shared" ref="I24:I28" si="10">H24*$X$6</f>
        <v>0</v>
      </c>
      <c r="J24" s="21"/>
      <c r="K24" s="22">
        <f t="shared" ref="K24:K28" si="11">J24*$X$7</f>
        <v>0</v>
      </c>
      <c r="L24" s="21"/>
      <c r="M24" s="22">
        <f t="shared" ref="M24" si="12">L24*$X$8</f>
        <v>0</v>
      </c>
      <c r="N24" s="21"/>
      <c r="O24" s="22">
        <f t="shared" ref="O24:O28" si="13">N24*$X$11</f>
        <v>0</v>
      </c>
      <c r="P24" s="21"/>
      <c r="Q24" s="23">
        <f t="shared" ref="Q24:Q28" si="14">P24*$X$9</f>
        <v>0</v>
      </c>
      <c r="R24" s="21"/>
      <c r="S24" s="22">
        <f t="shared" ref="S24:S28" si="15">R24*$X$10</f>
        <v>0</v>
      </c>
      <c r="T24" s="24"/>
      <c r="U24" s="25"/>
      <c r="V24" s="11"/>
      <c r="W24" s="11"/>
      <c r="X24" s="11"/>
    </row>
    <row r="25" spans="2:24" ht="20.100000000000001" customHeight="1" x14ac:dyDescent="0.25">
      <c r="B25" s="19"/>
      <c r="C25" s="20"/>
      <c r="D25" s="21"/>
      <c r="E25" s="22">
        <f t="shared" si="8"/>
        <v>0</v>
      </c>
      <c r="F25" s="21"/>
      <c r="G25" s="22">
        <f t="shared" si="9"/>
        <v>0</v>
      </c>
      <c r="H25" s="21"/>
      <c r="I25" s="22">
        <f t="shared" si="10"/>
        <v>0</v>
      </c>
      <c r="J25" s="21"/>
      <c r="K25" s="22">
        <f t="shared" si="11"/>
        <v>0</v>
      </c>
      <c r="L25" s="21"/>
      <c r="M25" s="22">
        <f>L25*$X$8</f>
        <v>0</v>
      </c>
      <c r="N25" s="21"/>
      <c r="O25" s="22">
        <f t="shared" si="13"/>
        <v>0</v>
      </c>
      <c r="P25" s="21"/>
      <c r="Q25" s="23">
        <f t="shared" si="14"/>
        <v>0</v>
      </c>
      <c r="R25" s="21"/>
      <c r="S25" s="22">
        <f t="shared" si="15"/>
        <v>0</v>
      </c>
      <c r="T25" s="24"/>
      <c r="U25" s="25"/>
      <c r="V25" s="11"/>
      <c r="W25" s="11"/>
      <c r="X25" s="11"/>
    </row>
    <row r="26" spans="2:24" ht="20.100000000000001" customHeight="1" x14ac:dyDescent="0.25">
      <c r="B26" s="19"/>
      <c r="C26" s="20"/>
      <c r="D26" s="21"/>
      <c r="E26" s="22">
        <f t="shared" si="8"/>
        <v>0</v>
      </c>
      <c r="F26" s="21"/>
      <c r="G26" s="22">
        <f t="shared" si="9"/>
        <v>0</v>
      </c>
      <c r="H26" s="21"/>
      <c r="I26" s="22">
        <f t="shared" si="10"/>
        <v>0</v>
      </c>
      <c r="J26" s="21"/>
      <c r="K26" s="22">
        <f t="shared" si="11"/>
        <v>0</v>
      </c>
      <c r="L26" s="21"/>
      <c r="M26" s="22">
        <f t="shared" ref="M26:M28" si="16">L26*$X$8</f>
        <v>0</v>
      </c>
      <c r="N26" s="21"/>
      <c r="O26" s="22">
        <f t="shared" si="13"/>
        <v>0</v>
      </c>
      <c r="P26" s="21"/>
      <c r="Q26" s="23">
        <f t="shared" si="14"/>
        <v>0</v>
      </c>
      <c r="R26" s="21"/>
      <c r="S26" s="22">
        <f t="shared" si="15"/>
        <v>0</v>
      </c>
      <c r="T26" s="24"/>
      <c r="U26" s="25"/>
      <c r="V26" s="11"/>
      <c r="W26" s="11"/>
      <c r="X26" s="11"/>
    </row>
    <row r="27" spans="2:24" ht="20.100000000000001" customHeight="1" x14ac:dyDescent="0.25">
      <c r="B27" s="19"/>
      <c r="C27" s="20"/>
      <c r="D27" s="21"/>
      <c r="E27" s="22">
        <f t="shared" si="8"/>
        <v>0</v>
      </c>
      <c r="F27" s="21"/>
      <c r="G27" s="22">
        <f t="shared" si="9"/>
        <v>0</v>
      </c>
      <c r="H27" s="21"/>
      <c r="I27" s="22">
        <f t="shared" si="10"/>
        <v>0</v>
      </c>
      <c r="J27" s="21"/>
      <c r="K27" s="22">
        <f t="shared" si="11"/>
        <v>0</v>
      </c>
      <c r="L27" s="21"/>
      <c r="M27" s="22">
        <f t="shared" si="16"/>
        <v>0</v>
      </c>
      <c r="N27" s="21"/>
      <c r="O27" s="22">
        <f t="shared" si="13"/>
        <v>0</v>
      </c>
      <c r="P27" s="21"/>
      <c r="Q27" s="23">
        <f t="shared" si="14"/>
        <v>0</v>
      </c>
      <c r="R27" s="21"/>
      <c r="S27" s="22">
        <f t="shared" si="15"/>
        <v>0</v>
      </c>
      <c r="T27" s="24"/>
      <c r="U27" s="25"/>
      <c r="V27" s="11"/>
      <c r="W27" s="11"/>
      <c r="X27" s="11"/>
    </row>
    <row r="28" spans="2:24" ht="20.100000000000001" customHeight="1" x14ac:dyDescent="0.25">
      <c r="B28" s="19"/>
      <c r="C28" s="20"/>
      <c r="D28" s="21"/>
      <c r="E28" s="22">
        <f t="shared" si="8"/>
        <v>0</v>
      </c>
      <c r="F28" s="21"/>
      <c r="G28" s="22">
        <f t="shared" si="9"/>
        <v>0</v>
      </c>
      <c r="H28" s="21"/>
      <c r="I28" s="22">
        <f t="shared" si="10"/>
        <v>0</v>
      </c>
      <c r="J28" s="21"/>
      <c r="K28" s="22">
        <f t="shared" si="11"/>
        <v>0</v>
      </c>
      <c r="L28" s="21"/>
      <c r="M28" s="22">
        <f t="shared" si="16"/>
        <v>0</v>
      </c>
      <c r="N28" s="21"/>
      <c r="O28" s="22">
        <f t="shared" si="13"/>
        <v>0</v>
      </c>
      <c r="P28" s="21"/>
      <c r="Q28" s="23">
        <f t="shared" si="14"/>
        <v>0</v>
      </c>
      <c r="R28" s="21"/>
      <c r="S28" s="22">
        <f t="shared" si="15"/>
        <v>0</v>
      </c>
      <c r="T28" s="24"/>
      <c r="U28" s="25"/>
      <c r="V28" s="11"/>
      <c r="W28" s="11"/>
      <c r="X28" s="11"/>
    </row>
    <row r="29" spans="2:24" ht="20.100000000000001" customHeight="1" x14ac:dyDescent="0.25">
      <c r="B29" s="19"/>
      <c r="C29" s="20"/>
      <c r="D29" s="21"/>
      <c r="E29" s="22">
        <f t="shared" si="1"/>
        <v>0</v>
      </c>
      <c r="F29" s="21"/>
      <c r="G29" s="22">
        <f t="shared" si="2"/>
        <v>0</v>
      </c>
      <c r="H29" s="21"/>
      <c r="I29" s="22">
        <f t="shared" si="3"/>
        <v>0</v>
      </c>
      <c r="J29" s="21"/>
      <c r="K29" s="22">
        <f t="shared" si="4"/>
        <v>0</v>
      </c>
      <c r="L29" s="21"/>
      <c r="M29" s="22">
        <f t="shared" si="5"/>
        <v>0</v>
      </c>
      <c r="N29" s="21"/>
      <c r="O29" s="22">
        <f t="shared" si="0"/>
        <v>0</v>
      </c>
      <c r="P29" s="21"/>
      <c r="Q29" s="23">
        <f t="shared" si="6"/>
        <v>0</v>
      </c>
      <c r="R29" s="21"/>
      <c r="S29" s="22">
        <f t="shared" si="7"/>
        <v>0</v>
      </c>
      <c r="T29" s="24"/>
      <c r="U29" s="25"/>
      <c r="V29" s="11"/>
      <c r="W29" s="11"/>
      <c r="X29" s="11"/>
    </row>
    <row r="30" spans="2:24" ht="20.100000000000001" customHeight="1" x14ac:dyDescent="0.25">
      <c r="B30" s="19"/>
      <c r="C30" s="20"/>
      <c r="D30" s="21"/>
      <c r="E30" s="22">
        <f t="shared" si="1"/>
        <v>0</v>
      </c>
      <c r="F30" s="21"/>
      <c r="G30" s="22">
        <f t="shared" si="2"/>
        <v>0</v>
      </c>
      <c r="H30" s="21"/>
      <c r="I30" s="22">
        <f t="shared" si="3"/>
        <v>0</v>
      </c>
      <c r="J30" s="21"/>
      <c r="K30" s="22">
        <f t="shared" si="4"/>
        <v>0</v>
      </c>
      <c r="L30" s="21"/>
      <c r="M30" s="22">
        <f>L30*$X$8</f>
        <v>0</v>
      </c>
      <c r="N30" s="21"/>
      <c r="O30" s="22">
        <f t="shared" si="0"/>
        <v>0</v>
      </c>
      <c r="P30" s="21"/>
      <c r="Q30" s="23">
        <f t="shared" si="6"/>
        <v>0</v>
      </c>
      <c r="R30" s="21"/>
      <c r="S30" s="22">
        <f t="shared" si="7"/>
        <v>0</v>
      </c>
      <c r="T30" s="24"/>
      <c r="U30" s="25"/>
      <c r="V30" s="11"/>
      <c r="W30" s="11"/>
      <c r="X30" s="11"/>
    </row>
    <row r="31" spans="2:24" ht="20.100000000000001" customHeight="1" x14ac:dyDescent="0.25">
      <c r="B31" s="19"/>
      <c r="C31" s="20"/>
      <c r="D31" s="21"/>
      <c r="E31" s="22">
        <f t="shared" si="1"/>
        <v>0</v>
      </c>
      <c r="F31" s="21"/>
      <c r="G31" s="22">
        <f t="shared" si="2"/>
        <v>0</v>
      </c>
      <c r="H31" s="21"/>
      <c r="I31" s="22">
        <f t="shared" si="3"/>
        <v>0</v>
      </c>
      <c r="J31" s="21"/>
      <c r="K31" s="22">
        <f t="shared" si="4"/>
        <v>0</v>
      </c>
      <c r="L31" s="21"/>
      <c r="M31" s="22">
        <f t="shared" si="5"/>
        <v>0</v>
      </c>
      <c r="N31" s="21"/>
      <c r="O31" s="22">
        <f t="shared" si="0"/>
        <v>0</v>
      </c>
      <c r="P31" s="21"/>
      <c r="Q31" s="23">
        <f t="shared" si="6"/>
        <v>0</v>
      </c>
      <c r="R31" s="21"/>
      <c r="S31" s="22">
        <f t="shared" si="7"/>
        <v>0</v>
      </c>
      <c r="T31" s="24"/>
      <c r="U31" s="25"/>
      <c r="V31" s="11"/>
      <c r="W31" s="11"/>
      <c r="X31" s="11"/>
    </row>
    <row r="32" spans="2:24" ht="20.100000000000001" customHeight="1" x14ac:dyDescent="0.25">
      <c r="B32" s="19"/>
      <c r="C32" s="20"/>
      <c r="D32" s="21"/>
      <c r="E32" s="22">
        <f t="shared" si="1"/>
        <v>0</v>
      </c>
      <c r="F32" s="21"/>
      <c r="G32" s="22">
        <f t="shared" si="2"/>
        <v>0</v>
      </c>
      <c r="H32" s="21"/>
      <c r="I32" s="22">
        <f t="shared" si="3"/>
        <v>0</v>
      </c>
      <c r="J32" s="21"/>
      <c r="K32" s="22">
        <f t="shared" si="4"/>
        <v>0</v>
      </c>
      <c r="L32" s="21"/>
      <c r="M32" s="22">
        <f t="shared" si="5"/>
        <v>0</v>
      </c>
      <c r="N32" s="21"/>
      <c r="O32" s="22">
        <f t="shared" si="0"/>
        <v>0</v>
      </c>
      <c r="P32" s="21"/>
      <c r="Q32" s="23">
        <f t="shared" si="6"/>
        <v>0</v>
      </c>
      <c r="R32" s="21"/>
      <c r="S32" s="22">
        <f t="shared" si="7"/>
        <v>0</v>
      </c>
      <c r="T32" s="24"/>
      <c r="U32" s="25"/>
      <c r="V32" s="11"/>
      <c r="W32" s="11"/>
      <c r="X32" s="11"/>
    </row>
    <row r="33" spans="2:24" ht="20.100000000000001" customHeight="1" x14ac:dyDescent="0.25">
      <c r="B33" s="19"/>
      <c r="C33" s="20"/>
      <c r="D33" s="21"/>
      <c r="E33" s="22">
        <f t="shared" si="1"/>
        <v>0</v>
      </c>
      <c r="F33" s="21"/>
      <c r="G33" s="22">
        <f t="shared" si="2"/>
        <v>0</v>
      </c>
      <c r="H33" s="21"/>
      <c r="I33" s="22">
        <f t="shared" si="3"/>
        <v>0</v>
      </c>
      <c r="J33" s="21"/>
      <c r="K33" s="22">
        <f t="shared" si="4"/>
        <v>0</v>
      </c>
      <c r="L33" s="21"/>
      <c r="M33" s="22">
        <f t="shared" si="5"/>
        <v>0</v>
      </c>
      <c r="N33" s="21"/>
      <c r="O33" s="22">
        <f t="shared" si="0"/>
        <v>0</v>
      </c>
      <c r="P33" s="21"/>
      <c r="Q33" s="23">
        <f t="shared" si="6"/>
        <v>0</v>
      </c>
      <c r="R33" s="21"/>
      <c r="S33" s="22">
        <f t="shared" si="7"/>
        <v>0</v>
      </c>
      <c r="T33" s="24"/>
      <c r="U33" s="25"/>
      <c r="V33" s="11"/>
      <c r="W33" s="11"/>
      <c r="X33" s="11"/>
    </row>
    <row r="34" spans="2:24" ht="20.100000000000001" customHeight="1" x14ac:dyDescent="0.25">
      <c r="B34" s="26"/>
      <c r="C34" s="27"/>
      <c r="D34" s="28"/>
      <c r="E34" s="22">
        <f t="shared" si="1"/>
        <v>0</v>
      </c>
      <c r="F34" s="28"/>
      <c r="G34" s="22">
        <f t="shared" si="2"/>
        <v>0</v>
      </c>
      <c r="H34" s="28"/>
      <c r="I34" s="22">
        <f t="shared" si="3"/>
        <v>0</v>
      </c>
      <c r="J34" s="28"/>
      <c r="K34" s="22">
        <f t="shared" si="4"/>
        <v>0</v>
      </c>
      <c r="L34" s="28"/>
      <c r="M34" s="22">
        <f t="shared" si="5"/>
        <v>0</v>
      </c>
      <c r="N34" s="28"/>
      <c r="O34" s="22">
        <f t="shared" si="0"/>
        <v>0</v>
      </c>
      <c r="P34" s="28"/>
      <c r="Q34" s="23">
        <f t="shared" si="6"/>
        <v>0</v>
      </c>
      <c r="R34" s="28"/>
      <c r="S34" s="22">
        <f t="shared" si="7"/>
        <v>0</v>
      </c>
      <c r="T34" s="40"/>
      <c r="U34" s="29"/>
      <c r="V34" s="11"/>
      <c r="W34" s="11"/>
      <c r="X34" s="11"/>
    </row>
    <row r="35" spans="2:24" ht="20.100000000000001" customHeight="1" thickBot="1" x14ac:dyDescent="0.3">
      <c r="B35" s="30"/>
      <c r="C35" s="31"/>
      <c r="D35" s="32" t="s">
        <v>28</v>
      </c>
      <c r="E35" s="32">
        <f>SUM(E3:E34)</f>
        <v>0</v>
      </c>
      <c r="F35" s="32"/>
      <c r="G35" s="32">
        <f t="shared" ref="G35:U35" si="17">SUM(G3:G34)</f>
        <v>0</v>
      </c>
      <c r="H35" s="32"/>
      <c r="I35" s="32">
        <f t="shared" si="17"/>
        <v>0</v>
      </c>
      <c r="J35" s="32"/>
      <c r="K35" s="32">
        <f t="shared" si="17"/>
        <v>0</v>
      </c>
      <c r="L35" s="32"/>
      <c r="M35" s="32">
        <f t="shared" si="17"/>
        <v>0</v>
      </c>
      <c r="N35" s="32"/>
      <c r="O35" s="32">
        <f t="shared" ref="O35" si="18">SUM(O3:O34)</f>
        <v>0</v>
      </c>
      <c r="P35" s="32"/>
      <c r="Q35" s="33">
        <f t="shared" si="17"/>
        <v>0</v>
      </c>
      <c r="R35" s="32"/>
      <c r="S35" s="32">
        <f t="shared" ref="S35" si="19">SUM(S3:S34)</f>
        <v>0</v>
      </c>
      <c r="T35" s="34"/>
      <c r="U35" s="35">
        <f t="shared" si="17"/>
        <v>0</v>
      </c>
      <c r="V35" s="11"/>
      <c r="W35" s="11"/>
      <c r="X35" s="11"/>
    </row>
    <row r="36" spans="2:24" ht="20.100000000000001" customHeight="1" thickBot="1" x14ac:dyDescent="0.3">
      <c r="W36" s="11"/>
      <c r="X36" s="11"/>
    </row>
    <row r="37" spans="2:24" ht="20.100000000000001" customHeight="1" thickBot="1" x14ac:dyDescent="0.3">
      <c r="B37" s="11"/>
      <c r="C37" s="11"/>
      <c r="D37" s="11"/>
      <c r="E37" s="36"/>
      <c r="F37" s="11"/>
      <c r="G37" s="36"/>
      <c r="H37" s="11"/>
      <c r="I37" s="36"/>
      <c r="J37" s="11"/>
      <c r="K37" s="36"/>
      <c r="L37" s="11"/>
      <c r="M37" s="36"/>
      <c r="N37" s="11"/>
      <c r="O37" s="36"/>
      <c r="P37" s="11"/>
      <c r="R37" s="37" t="s">
        <v>37</v>
      </c>
      <c r="S37" s="38" t="s">
        <v>29</v>
      </c>
      <c r="T37" s="101">
        <f>E35+G35+I35+K35+M35+Q35+U35</f>
        <v>0</v>
      </c>
      <c r="W37" s="11"/>
      <c r="X37" s="11"/>
    </row>
    <row r="38" spans="2:24" ht="20.100000000000001" customHeight="1" thickBot="1" x14ac:dyDescent="0.3">
      <c r="B38" s="11"/>
      <c r="C38" s="11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T38" s="102" t="s">
        <v>163</v>
      </c>
      <c r="U38" s="100">
        <f>T37*'Carbon calculation'!J8</f>
        <v>0</v>
      </c>
      <c r="V38" s="11"/>
      <c r="W38" s="11"/>
      <c r="X38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eb63da-8d7e-4c67-a224-4c9befe50fbc" xsi:nil="true"/>
    <lcf76f155ced4ddcb4097134ff3c332f xmlns="fe172f1f-fe48-4e28-b736-8e2855b71246">
      <Terms xmlns="http://schemas.microsoft.com/office/infopath/2007/PartnerControls"/>
    </lcf76f155ced4ddcb4097134ff3c332f>
    <Date_x0020_Saved xmlns="fe172f1f-fe48-4e28-b736-8e2855b71246">2024-06-21T06:16:08+00:00</Date_x0020_Saved>
    <AddedtoChecklist xmlns="fe172f1f-fe48-4e28-b736-8e2855b71246">false</AddedtoChecklis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10B8A6016D664A86CF7DEE6712BC88" ma:contentTypeVersion="20" ma:contentTypeDescription="Create a new document." ma:contentTypeScope="" ma:versionID="4913f2b7d0904af4a15ed36209384856">
  <xsd:schema xmlns:xsd="http://www.w3.org/2001/XMLSchema" xmlns:xs="http://www.w3.org/2001/XMLSchema" xmlns:p="http://schemas.microsoft.com/office/2006/metadata/properties" xmlns:ns2="fe172f1f-fe48-4e28-b736-8e2855b71246" xmlns:ns3="90eb63da-8d7e-4c67-a224-4c9befe50fbc" targetNamespace="http://schemas.microsoft.com/office/2006/metadata/properties" ma:root="true" ma:fieldsID="5812dd24242b4f045ef3fc0c2cda6f56" ns2:_="" ns3:_="">
    <xsd:import namespace="fe172f1f-fe48-4e28-b736-8e2855b71246"/>
    <xsd:import namespace="90eb63da-8d7e-4c67-a224-4c9befe50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Date_x0020_Saved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AddedtoChecklist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72f1f-fe48-4e28-b736-8e2855b71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Date_x0020_Saved" ma:index="14" nillable="true" ma:displayName="Date Saved" ma:default="[today]" ma:description="Date the document was saved" ma:format="DateOnly" ma:internalName="Date_x0020_Saved">
      <xsd:simpleType>
        <xsd:restriction base="dms:DateTim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AddedtoChecklist" ma:index="21" nillable="true" ma:displayName="Added to Checklist" ma:default="0" ma:format="Dropdown" ma:internalName="AddedtoChecklist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d2d40ce-ddd3-4eb4-8e24-b2bae2e29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b63da-8d7e-4c67-a224-4c9befe50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fa6de69-6a33-4ca5-b4a3-04f1a59361fe}" ma:internalName="TaxCatchAll" ma:showField="CatchAllData" ma:web="90eb63da-8d7e-4c67-a224-4c9befe50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D639D-ADE4-4A62-B191-12966CEC89EC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28d5c59-345e-4d82-a0d1-11f7a10ac86e"/>
    <ds:schemaRef ds:uri="http://schemas.openxmlformats.org/package/2006/metadata/core-properties"/>
    <ds:schemaRef ds:uri="9866c7ce-ab77-4f9e-bfa5-45eb5f86a62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B5212B4-01F3-4A68-9B30-EBA0FA99856F}"/>
</file>

<file path=customXml/itemProps3.xml><?xml version="1.0" encoding="utf-8"?>
<ds:datastoreItem xmlns:ds="http://schemas.openxmlformats.org/officeDocument/2006/customXml" ds:itemID="{24987B06-06A0-4CF9-8CAF-1CC8CE27F2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Carbon calculation</vt:lpstr>
      <vt:lpstr>Example working sheet</vt:lpstr>
      <vt:lpstr>TEMPLATE activities sheet</vt:lpstr>
      <vt:lpstr>TEMPLATE FLIGHTS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Hallett</dc:creator>
  <cp:lastModifiedBy>Anne Fitzpatrick</cp:lastModifiedBy>
  <dcterms:created xsi:type="dcterms:W3CDTF">2024-04-15T03:29:25Z</dcterms:created>
  <dcterms:modified xsi:type="dcterms:W3CDTF">2024-06-21T05:32:39Z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0x010100DF451C1342C5D144A6494A8674E4A695</vt:lpwstr>
  </property>
  <property fmtid="{D5CDD505-2E9C-101B-9397-08002B2CF9AE}" pid="3" name="MediaServiceImageTags">
    <vt:lpwstr/>
  </property>
</Properties>
</file>